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4220" windowHeight="10365" activeTab="3"/>
  </bookViews>
  <sheets>
    <sheet name="Budget" sheetId="1" r:id="rId1"/>
    <sheet name="Sheet2" sheetId="2" state="hidden" r:id="rId2"/>
    <sheet name="Sheet3" sheetId="3" state="hidden" r:id="rId3"/>
    <sheet name="Assessments" sheetId="4" r:id="rId4"/>
    <sheet name="Utilities" sheetId="5" r:id="rId5"/>
    <sheet name="2011" sheetId="6" r:id="rId6"/>
    <sheet name="Sheet1" sheetId="7" r:id="rId7"/>
  </sheets>
  <definedNames>
    <definedName name="_xlnm.Print_Area" localSheetId="3">Assessments!$A$1:$R$134</definedName>
    <definedName name="_xlnm.Print_Area" localSheetId="0">Budget!$A$1:$AG$105</definedName>
    <definedName name="_xlnm.Print_Titles" localSheetId="5">'2011'!$A:$G,'2011'!$1:$1</definedName>
    <definedName name="_xlnm.Print_Titles" localSheetId="3">Assessments!$1:$7</definedName>
    <definedName name="_xlnm.Print_Titles" localSheetId="0">Budget!$A:$G,Budget!$1:$2</definedName>
  </definedNames>
  <calcPr calcId="145621"/>
</workbook>
</file>

<file path=xl/calcChain.xml><?xml version="1.0" encoding="utf-8"?>
<calcChain xmlns="http://schemas.openxmlformats.org/spreadsheetml/2006/main">
  <c r="D45" i="4" l="1"/>
  <c r="D46" i="4"/>
  <c r="D44" i="4"/>
  <c r="D126" i="4"/>
  <c r="D125" i="4"/>
  <c r="D124" i="4"/>
  <c r="D123" i="4"/>
  <c r="D122" i="4"/>
  <c r="D121" i="4"/>
  <c r="D120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79" i="4"/>
  <c r="D78" i="4"/>
  <c r="D77" i="4"/>
  <c r="D76" i="4"/>
  <c r="D75" i="4"/>
  <c r="D74" i="4"/>
  <c r="D73" i="4"/>
  <c r="D72" i="4"/>
  <c r="D71" i="4"/>
  <c r="D70" i="4"/>
  <c r="D69" i="4"/>
  <c r="D68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24" i="4"/>
  <c r="X19" i="4"/>
  <c r="Y19" i="4" s="1"/>
  <c r="D10" i="4"/>
  <c r="D11" i="4"/>
  <c r="D12" i="4"/>
  <c r="D13" i="4"/>
  <c r="D14" i="4"/>
  <c r="D15" i="4"/>
  <c r="D16" i="4"/>
  <c r="D17" i="4"/>
  <c r="D18" i="4"/>
  <c r="D19" i="4"/>
  <c r="D9" i="4"/>
  <c r="Y5" i="4"/>
  <c r="K132" i="4" l="1"/>
  <c r="B33" i="7" l="1"/>
  <c r="B35" i="7" s="1"/>
  <c r="B31" i="7"/>
  <c r="AF96" i="1"/>
  <c r="AF97" i="1"/>
  <c r="AD101" i="6" l="1"/>
  <c r="AD102" i="6" s="1"/>
  <c r="AB101" i="6"/>
  <c r="AB102" i="6" s="1"/>
  <c r="Z101" i="6"/>
  <c r="Z102" i="6" s="1"/>
  <c r="X101" i="6"/>
  <c r="X102" i="6" s="1"/>
  <c r="V101" i="6"/>
  <c r="V102" i="6" s="1"/>
  <c r="T101" i="6"/>
  <c r="T102" i="6" s="1"/>
  <c r="R101" i="6"/>
  <c r="R102" i="6" s="1"/>
  <c r="P101" i="6"/>
  <c r="P102" i="6" s="1"/>
  <c r="N101" i="6"/>
  <c r="N102" i="6" s="1"/>
  <c r="L101" i="6"/>
  <c r="L102" i="6" s="1"/>
  <c r="J101" i="6"/>
  <c r="J102" i="6" s="1"/>
  <c r="H101" i="6"/>
  <c r="H102" i="6" s="1"/>
  <c r="AF100" i="6"/>
  <c r="AF99" i="6"/>
  <c r="AF98" i="6"/>
  <c r="AF97" i="6"/>
  <c r="AF96" i="6"/>
  <c r="AF95" i="6"/>
  <c r="AF90" i="6"/>
  <c r="AD89" i="6"/>
  <c r="AD91" i="6" s="1"/>
  <c r="AD92" i="6" s="1"/>
  <c r="AB89" i="6"/>
  <c r="AB91" i="6" s="1"/>
  <c r="AB92" i="6" s="1"/>
  <c r="AB103" i="6" s="1"/>
  <c r="Z89" i="6"/>
  <c r="Z91" i="6" s="1"/>
  <c r="Z92" i="6" s="1"/>
  <c r="X89" i="6"/>
  <c r="X91" i="6" s="1"/>
  <c r="X92" i="6" s="1"/>
  <c r="X103" i="6" s="1"/>
  <c r="V89" i="6"/>
  <c r="V91" i="6" s="1"/>
  <c r="V92" i="6" s="1"/>
  <c r="T89" i="6"/>
  <c r="T91" i="6" s="1"/>
  <c r="T92" i="6" s="1"/>
  <c r="T103" i="6" s="1"/>
  <c r="R89" i="6"/>
  <c r="R91" i="6" s="1"/>
  <c r="R92" i="6" s="1"/>
  <c r="P89" i="6"/>
  <c r="P91" i="6" s="1"/>
  <c r="P92" i="6" s="1"/>
  <c r="P103" i="6" s="1"/>
  <c r="N89" i="6"/>
  <c r="N91" i="6" s="1"/>
  <c r="N92" i="6" s="1"/>
  <c r="L89" i="6"/>
  <c r="L91" i="6" s="1"/>
  <c r="L92" i="6" s="1"/>
  <c r="L103" i="6" s="1"/>
  <c r="J89" i="6"/>
  <c r="J91" i="6" s="1"/>
  <c r="J92" i="6" s="1"/>
  <c r="H89" i="6"/>
  <c r="AF89" i="6" s="1"/>
  <c r="AF88" i="6"/>
  <c r="AF87" i="6"/>
  <c r="AF86" i="6"/>
  <c r="AF85" i="6"/>
  <c r="AF84" i="6"/>
  <c r="AF83" i="6"/>
  <c r="AD76" i="6"/>
  <c r="AB76" i="6"/>
  <c r="Z76" i="6"/>
  <c r="X76" i="6"/>
  <c r="V76" i="6"/>
  <c r="T76" i="6"/>
  <c r="R76" i="6"/>
  <c r="P76" i="6"/>
  <c r="N76" i="6"/>
  <c r="L76" i="6"/>
  <c r="J76" i="6"/>
  <c r="H76" i="6"/>
  <c r="AF76" i="6" s="1"/>
  <c r="AF75" i="6"/>
  <c r="AF74" i="6"/>
  <c r="AF73" i="6"/>
  <c r="AF70" i="6"/>
  <c r="AF69" i="6"/>
  <c r="AF68" i="6"/>
  <c r="AF67" i="6"/>
  <c r="AF66" i="6"/>
  <c r="AF65" i="6"/>
  <c r="AF64" i="6"/>
  <c r="AF63" i="6"/>
  <c r="AD62" i="6"/>
  <c r="AB62" i="6"/>
  <c r="Z62" i="6"/>
  <c r="X62" i="6"/>
  <c r="V62" i="6"/>
  <c r="T62" i="6"/>
  <c r="R62" i="6"/>
  <c r="P62" i="6"/>
  <c r="N62" i="6"/>
  <c r="L62" i="6"/>
  <c r="J62" i="6"/>
  <c r="H62" i="6"/>
  <c r="AF62" i="6" s="1"/>
  <c r="AF61" i="6"/>
  <c r="AF60" i="6"/>
  <c r="AF58" i="6"/>
  <c r="AF57" i="6"/>
  <c r="AF56" i="6"/>
  <c r="AF55" i="6"/>
  <c r="AD54" i="6"/>
  <c r="AD71" i="6" s="1"/>
  <c r="AB54" i="6"/>
  <c r="AB71" i="6" s="1"/>
  <c r="Z54" i="6"/>
  <c r="Z71" i="6" s="1"/>
  <c r="X54" i="6"/>
  <c r="X71" i="6" s="1"/>
  <c r="V54" i="6"/>
  <c r="V71" i="6" s="1"/>
  <c r="T54" i="6"/>
  <c r="T71" i="6" s="1"/>
  <c r="R54" i="6"/>
  <c r="R71" i="6" s="1"/>
  <c r="P54" i="6"/>
  <c r="P71" i="6" s="1"/>
  <c r="N54" i="6"/>
  <c r="N71" i="6" s="1"/>
  <c r="L54" i="6"/>
  <c r="L71" i="6" s="1"/>
  <c r="J54" i="6"/>
  <c r="J71" i="6" s="1"/>
  <c r="H54" i="6"/>
  <c r="H71" i="6" s="1"/>
  <c r="AF53" i="6"/>
  <c r="AF52" i="6"/>
  <c r="AF51" i="6"/>
  <c r="AF49" i="6"/>
  <c r="AD47" i="6"/>
  <c r="AB47" i="6"/>
  <c r="Z47" i="6"/>
  <c r="X47" i="6"/>
  <c r="V47" i="6"/>
  <c r="T47" i="6"/>
  <c r="R47" i="6"/>
  <c r="P47" i="6"/>
  <c r="N47" i="6"/>
  <c r="L47" i="6"/>
  <c r="J47" i="6"/>
  <c r="H47" i="6"/>
  <c r="AF47" i="6" s="1"/>
  <c r="AF46" i="6"/>
  <c r="AF45" i="6"/>
  <c r="AF44" i="6"/>
  <c r="AD42" i="6"/>
  <c r="AB42" i="6"/>
  <c r="AB77" i="6" s="1"/>
  <c r="Z42" i="6"/>
  <c r="X42" i="6"/>
  <c r="X77" i="6" s="1"/>
  <c r="V42" i="6"/>
  <c r="T42" i="6"/>
  <c r="T77" i="6" s="1"/>
  <c r="R42" i="6"/>
  <c r="P42" i="6"/>
  <c r="P77" i="6" s="1"/>
  <c r="N42" i="6"/>
  <c r="L42" i="6"/>
  <c r="L77" i="6" s="1"/>
  <c r="J42" i="6"/>
  <c r="H42" i="6"/>
  <c r="H77" i="6" s="1"/>
  <c r="AF41" i="6"/>
  <c r="AF40" i="6"/>
  <c r="AF39" i="6"/>
  <c r="AF38" i="6"/>
  <c r="AF37" i="6"/>
  <c r="AF36" i="6"/>
  <c r="AF35" i="6"/>
  <c r="AF29" i="6"/>
  <c r="AD28" i="6"/>
  <c r="AB28" i="6"/>
  <c r="Z28" i="6"/>
  <c r="X28" i="6"/>
  <c r="V28" i="6"/>
  <c r="T28" i="6"/>
  <c r="R28" i="6"/>
  <c r="P28" i="6"/>
  <c r="N28" i="6"/>
  <c r="L28" i="6"/>
  <c r="J28" i="6"/>
  <c r="H28" i="6"/>
  <c r="AF28" i="6" s="1"/>
  <c r="AF27" i="6"/>
  <c r="AF26" i="6"/>
  <c r="AD24" i="6"/>
  <c r="AB24" i="6"/>
  <c r="Z24" i="6"/>
  <c r="X24" i="6"/>
  <c r="V24" i="6"/>
  <c r="T24" i="6"/>
  <c r="R24" i="6"/>
  <c r="P24" i="6"/>
  <c r="N24" i="6"/>
  <c r="L24" i="6"/>
  <c r="J24" i="6"/>
  <c r="H24" i="6"/>
  <c r="AF24" i="6" s="1"/>
  <c r="AF23" i="6"/>
  <c r="AF22" i="6"/>
  <c r="AF21" i="6"/>
  <c r="AF20" i="6"/>
  <c r="AF19" i="6"/>
  <c r="AF18" i="6"/>
  <c r="AD16" i="6"/>
  <c r="AB16" i="6"/>
  <c r="Z16" i="6"/>
  <c r="X16" i="6"/>
  <c r="V16" i="6"/>
  <c r="T16" i="6"/>
  <c r="R16" i="6"/>
  <c r="P16" i="6"/>
  <c r="N16" i="6"/>
  <c r="L16" i="6"/>
  <c r="J16" i="6"/>
  <c r="H16" i="6"/>
  <c r="AF16" i="6" s="1"/>
  <c r="AF15" i="6"/>
  <c r="AF14" i="6"/>
  <c r="AF13" i="6"/>
  <c r="AF12" i="6"/>
  <c r="AF11" i="6"/>
  <c r="AD9" i="6"/>
  <c r="AD30" i="6" s="1"/>
  <c r="AD31" i="6" s="1"/>
  <c r="AD32" i="6" s="1"/>
  <c r="AB9" i="6"/>
  <c r="AB30" i="6" s="1"/>
  <c r="AB31" i="6" s="1"/>
  <c r="AB32" i="6" s="1"/>
  <c r="Z9" i="6"/>
  <c r="Z30" i="6" s="1"/>
  <c r="Z31" i="6" s="1"/>
  <c r="Z32" i="6" s="1"/>
  <c r="X9" i="6"/>
  <c r="X30" i="6" s="1"/>
  <c r="X31" i="6" s="1"/>
  <c r="X32" i="6" s="1"/>
  <c r="V9" i="6"/>
  <c r="V30" i="6" s="1"/>
  <c r="V31" i="6" s="1"/>
  <c r="V32" i="6" s="1"/>
  <c r="T9" i="6"/>
  <c r="T30" i="6" s="1"/>
  <c r="T31" i="6" s="1"/>
  <c r="T32" i="6" s="1"/>
  <c r="R9" i="6"/>
  <c r="R30" i="6" s="1"/>
  <c r="R31" i="6" s="1"/>
  <c r="R32" i="6" s="1"/>
  <c r="P9" i="6"/>
  <c r="P30" i="6" s="1"/>
  <c r="P31" i="6" s="1"/>
  <c r="P32" i="6" s="1"/>
  <c r="N9" i="6"/>
  <c r="N30" i="6" s="1"/>
  <c r="N31" i="6" s="1"/>
  <c r="N32" i="6" s="1"/>
  <c r="L9" i="6"/>
  <c r="L30" i="6" s="1"/>
  <c r="L31" i="6" s="1"/>
  <c r="L32" i="6" s="1"/>
  <c r="J9" i="6"/>
  <c r="J30" i="6" s="1"/>
  <c r="J31" i="6" s="1"/>
  <c r="J32" i="6" s="1"/>
  <c r="H9" i="6"/>
  <c r="H30" i="6" s="1"/>
  <c r="AF8" i="6"/>
  <c r="AF7" i="6"/>
  <c r="AF6" i="6"/>
  <c r="R78" i="6" l="1"/>
  <c r="L78" i="6"/>
  <c r="L104" i="6" s="1"/>
  <c r="T78" i="6"/>
  <c r="T104" i="6" s="1"/>
  <c r="AB78" i="6"/>
  <c r="AB104" i="6" s="1"/>
  <c r="J77" i="6"/>
  <c r="J78" i="6" s="1"/>
  <c r="J104" i="6" s="1"/>
  <c r="R77" i="6"/>
  <c r="Z77" i="6"/>
  <c r="N103" i="6"/>
  <c r="V103" i="6"/>
  <c r="AD103" i="6"/>
  <c r="AF102" i="6"/>
  <c r="N78" i="6"/>
  <c r="N104" i="6" s="1"/>
  <c r="AD78" i="6"/>
  <c r="AD104" i="6" s="1"/>
  <c r="H31" i="6"/>
  <c r="AF30" i="6"/>
  <c r="P78" i="6"/>
  <c r="P104" i="6" s="1"/>
  <c r="X78" i="6"/>
  <c r="X104" i="6" s="1"/>
  <c r="N77" i="6"/>
  <c r="V77" i="6"/>
  <c r="V78" i="6" s="1"/>
  <c r="V104" i="6" s="1"/>
  <c r="AD77" i="6"/>
  <c r="AF71" i="6"/>
  <c r="J103" i="6"/>
  <c r="R103" i="6"/>
  <c r="Z103" i="6"/>
  <c r="Z78" i="6"/>
  <c r="Z104" i="6" s="1"/>
  <c r="AF9" i="6"/>
  <c r="AF42" i="6"/>
  <c r="H91" i="6"/>
  <c r="AF101" i="6"/>
  <c r="AF54" i="6"/>
  <c r="E134" i="4"/>
  <c r="AI90" i="1"/>
  <c r="AI91" i="1" s="1"/>
  <c r="AF5" i="5"/>
  <c r="AD75" i="1" s="1"/>
  <c r="AF4" i="5"/>
  <c r="AB74" i="1" s="1"/>
  <c r="AF3" i="5"/>
  <c r="Z73" i="1" s="1"/>
  <c r="AD99" i="1"/>
  <c r="AD100" i="1" s="1"/>
  <c r="Z99" i="1"/>
  <c r="Z100" i="1" s="1"/>
  <c r="H92" i="6" l="1"/>
  <c r="AF91" i="6"/>
  <c r="R104" i="6"/>
  <c r="AF77" i="6"/>
  <c r="AF31" i="6"/>
  <c r="H32" i="6"/>
  <c r="H73" i="1"/>
  <c r="J74" i="1"/>
  <c r="L75" i="1"/>
  <c r="P73" i="1"/>
  <c r="R74" i="1"/>
  <c r="T75" i="1"/>
  <c r="X73" i="1"/>
  <c r="Z74" i="1"/>
  <c r="AB75" i="1"/>
  <c r="H75" i="1"/>
  <c r="J75" i="1"/>
  <c r="N73" i="1"/>
  <c r="P74" i="1"/>
  <c r="R75" i="1"/>
  <c r="V73" i="1"/>
  <c r="X74" i="1"/>
  <c r="Z75" i="1"/>
  <c r="AD73" i="1"/>
  <c r="H74" i="1"/>
  <c r="L73" i="1"/>
  <c r="N74" i="1"/>
  <c r="P75" i="1"/>
  <c r="T73" i="1"/>
  <c r="V74" i="1"/>
  <c r="X75" i="1"/>
  <c r="AB73" i="1"/>
  <c r="AD74" i="1"/>
  <c r="J73" i="1"/>
  <c r="L74" i="1"/>
  <c r="N75" i="1"/>
  <c r="R73" i="1"/>
  <c r="T74" i="1"/>
  <c r="V75" i="1"/>
  <c r="Y58" i="4"/>
  <c r="Y45" i="4"/>
  <c r="Y44" i="4"/>
  <c r="Y24" i="4"/>
  <c r="Y9" i="4"/>
  <c r="H78" i="6" l="1"/>
  <c r="AF32" i="6"/>
  <c r="H103" i="6"/>
  <c r="AF103" i="6" s="1"/>
  <c r="AF92" i="6"/>
  <c r="X9" i="4"/>
  <c r="X45" i="4"/>
  <c r="X44" i="4"/>
  <c r="X24" i="4"/>
  <c r="H99" i="1"/>
  <c r="H100" i="1" s="1"/>
  <c r="J99" i="1"/>
  <c r="J100" i="1" s="1"/>
  <c r="L99" i="1"/>
  <c r="L100" i="1" s="1"/>
  <c r="AF13" i="1"/>
  <c r="AD13" i="1" s="1"/>
  <c r="AF16" i="1"/>
  <c r="AB16" i="1" s="1"/>
  <c r="H13" i="1"/>
  <c r="E128" i="4"/>
  <c r="K126" i="4"/>
  <c r="H126" i="4"/>
  <c r="K125" i="4"/>
  <c r="H125" i="4"/>
  <c r="K124" i="4"/>
  <c r="H124" i="4"/>
  <c r="K123" i="4"/>
  <c r="H123" i="4"/>
  <c r="K122" i="4"/>
  <c r="H122" i="4"/>
  <c r="K121" i="4"/>
  <c r="H121" i="4"/>
  <c r="K120" i="4"/>
  <c r="H120" i="4"/>
  <c r="K118" i="4"/>
  <c r="H118" i="4"/>
  <c r="K117" i="4"/>
  <c r="H117" i="4"/>
  <c r="K116" i="4"/>
  <c r="H116" i="4"/>
  <c r="K115" i="4"/>
  <c r="H115" i="4"/>
  <c r="K114" i="4"/>
  <c r="H114" i="4"/>
  <c r="K113" i="4"/>
  <c r="H113" i="4"/>
  <c r="K112" i="4"/>
  <c r="H112" i="4"/>
  <c r="K111" i="4"/>
  <c r="H111" i="4"/>
  <c r="K110" i="4"/>
  <c r="H110" i="4"/>
  <c r="K109" i="4"/>
  <c r="H109" i="4"/>
  <c r="K108" i="4"/>
  <c r="H108" i="4"/>
  <c r="K107" i="4"/>
  <c r="H107" i="4"/>
  <c r="K106" i="4"/>
  <c r="H106" i="4"/>
  <c r="K105" i="4"/>
  <c r="H105" i="4"/>
  <c r="K104" i="4"/>
  <c r="H104" i="4"/>
  <c r="K103" i="4"/>
  <c r="H103" i="4"/>
  <c r="K102" i="4"/>
  <c r="H102" i="4"/>
  <c r="K101" i="4"/>
  <c r="H101" i="4"/>
  <c r="K99" i="4"/>
  <c r="H99" i="4"/>
  <c r="K98" i="4"/>
  <c r="H98" i="4"/>
  <c r="K97" i="4"/>
  <c r="H97" i="4"/>
  <c r="K96" i="4"/>
  <c r="H96" i="4"/>
  <c r="K95" i="4"/>
  <c r="H95" i="4"/>
  <c r="K94" i="4"/>
  <c r="H94" i="4"/>
  <c r="K93" i="4"/>
  <c r="H93" i="4"/>
  <c r="K92" i="4"/>
  <c r="H92" i="4"/>
  <c r="K91" i="4"/>
  <c r="H91" i="4"/>
  <c r="K90" i="4"/>
  <c r="H90" i="4"/>
  <c r="K89" i="4"/>
  <c r="H89" i="4"/>
  <c r="K88" i="4"/>
  <c r="H88" i="4"/>
  <c r="K87" i="4"/>
  <c r="H87" i="4"/>
  <c r="K86" i="4"/>
  <c r="H86" i="4"/>
  <c r="K85" i="4"/>
  <c r="H85" i="4"/>
  <c r="K84" i="4"/>
  <c r="H84" i="4"/>
  <c r="K83" i="4"/>
  <c r="H83" i="4"/>
  <c r="K82" i="4"/>
  <c r="H82" i="4"/>
  <c r="K81" i="4"/>
  <c r="H81" i="4"/>
  <c r="K79" i="4"/>
  <c r="H79" i="4"/>
  <c r="K78" i="4"/>
  <c r="H78" i="4"/>
  <c r="K77" i="4"/>
  <c r="H77" i="4"/>
  <c r="K76" i="4"/>
  <c r="H76" i="4"/>
  <c r="K75" i="4"/>
  <c r="H75" i="4"/>
  <c r="K74" i="4"/>
  <c r="H74" i="4"/>
  <c r="K73" i="4"/>
  <c r="H73" i="4"/>
  <c r="K72" i="4"/>
  <c r="H72" i="4"/>
  <c r="K71" i="4"/>
  <c r="H71" i="4"/>
  <c r="K70" i="4"/>
  <c r="H70" i="4"/>
  <c r="K69" i="4"/>
  <c r="H69" i="4"/>
  <c r="K68" i="4"/>
  <c r="H68" i="4"/>
  <c r="K66" i="4"/>
  <c r="H66" i="4"/>
  <c r="K65" i="4"/>
  <c r="H65" i="4"/>
  <c r="K64" i="4"/>
  <c r="H64" i="4"/>
  <c r="K63" i="4"/>
  <c r="H63" i="4"/>
  <c r="K62" i="4"/>
  <c r="H62" i="4"/>
  <c r="K61" i="4"/>
  <c r="H61" i="4"/>
  <c r="U60" i="4"/>
  <c r="K60" i="4"/>
  <c r="H60" i="4"/>
  <c r="U59" i="4"/>
  <c r="K59" i="4"/>
  <c r="H59" i="4"/>
  <c r="U58" i="4"/>
  <c r="K58" i="4"/>
  <c r="H58" i="4"/>
  <c r="U57" i="4"/>
  <c r="K57" i="4"/>
  <c r="H57" i="4"/>
  <c r="U56" i="4"/>
  <c r="K56" i="4"/>
  <c r="H56" i="4"/>
  <c r="U55" i="4"/>
  <c r="K55" i="4"/>
  <c r="H55" i="4"/>
  <c r="U54" i="4"/>
  <c r="K54" i="4"/>
  <c r="H54" i="4"/>
  <c r="U53" i="4"/>
  <c r="K53" i="4"/>
  <c r="H53" i="4"/>
  <c r="U48" i="4"/>
  <c r="E48" i="4"/>
  <c r="H46" i="4"/>
  <c r="K45" i="4"/>
  <c r="AF12" i="1" s="1"/>
  <c r="H45" i="4"/>
  <c r="H44" i="4"/>
  <c r="U42" i="4"/>
  <c r="J42" i="4"/>
  <c r="E42" i="4"/>
  <c r="K40" i="4"/>
  <c r="H40" i="4"/>
  <c r="M40" i="4" s="1"/>
  <c r="H39" i="4"/>
  <c r="M39" i="4" s="1"/>
  <c r="H38" i="4"/>
  <c r="M38" i="4" s="1"/>
  <c r="H37" i="4"/>
  <c r="M37" i="4" s="1"/>
  <c r="H36" i="4"/>
  <c r="M36" i="4" s="1"/>
  <c r="H35" i="4"/>
  <c r="M35" i="4" s="1"/>
  <c r="H34" i="4"/>
  <c r="M34" i="4" s="1"/>
  <c r="H33" i="4"/>
  <c r="M33" i="4" s="1"/>
  <c r="H32" i="4"/>
  <c r="M32" i="4" s="1"/>
  <c r="H31" i="4"/>
  <c r="M31" i="4" s="1"/>
  <c r="H30" i="4"/>
  <c r="M30" i="4" s="1"/>
  <c r="H29" i="4"/>
  <c r="M29" i="4" s="1"/>
  <c r="H28" i="4"/>
  <c r="M28" i="4" s="1"/>
  <c r="H27" i="4"/>
  <c r="M27" i="4" s="1"/>
  <c r="H26" i="4"/>
  <c r="M26" i="4" s="1"/>
  <c r="H25" i="4"/>
  <c r="M25" i="4" s="1"/>
  <c r="K24" i="4"/>
  <c r="K42" i="4" s="1"/>
  <c r="AF15" i="1" s="1"/>
  <c r="X15" i="1" s="1"/>
  <c r="H24" i="4"/>
  <c r="U21" i="4"/>
  <c r="K21" i="4"/>
  <c r="J21" i="4"/>
  <c r="E21" i="4"/>
  <c r="E130" i="4" s="1"/>
  <c r="F46" i="4" s="1"/>
  <c r="T46" i="4" s="1"/>
  <c r="P46" i="4" s="1"/>
  <c r="H19" i="4"/>
  <c r="M19" i="4" s="1"/>
  <c r="H18" i="4"/>
  <c r="M18" i="4" s="1"/>
  <c r="H17" i="4"/>
  <c r="M17" i="4" s="1"/>
  <c r="H16" i="4"/>
  <c r="M16" i="4" s="1"/>
  <c r="H15" i="4"/>
  <c r="M15" i="4" s="1"/>
  <c r="H14" i="4"/>
  <c r="M14" i="4" s="1"/>
  <c r="F14" i="4"/>
  <c r="T14" i="4" s="1"/>
  <c r="P14" i="4" s="1"/>
  <c r="H13" i="4"/>
  <c r="M13" i="4" s="1"/>
  <c r="H12" i="4"/>
  <c r="M12" i="4" s="1"/>
  <c r="F12" i="4"/>
  <c r="T12" i="4" s="1"/>
  <c r="P12" i="4" s="1"/>
  <c r="H11" i="4"/>
  <c r="M11" i="4" s="1"/>
  <c r="H10" i="4"/>
  <c r="M10" i="4" s="1"/>
  <c r="F10" i="4"/>
  <c r="T10" i="4" s="1"/>
  <c r="P10" i="4" s="1"/>
  <c r="F9" i="4"/>
  <c r="T9" i="4" s="1"/>
  <c r="AB99" i="1"/>
  <c r="AB100" i="1" s="1"/>
  <c r="X99" i="1"/>
  <c r="X100" i="1" s="1"/>
  <c r="V99" i="1"/>
  <c r="V100" i="1" s="1"/>
  <c r="T99" i="1"/>
  <c r="T100" i="1" s="1"/>
  <c r="R99" i="1"/>
  <c r="R100" i="1" s="1"/>
  <c r="P99" i="1"/>
  <c r="P100" i="1" s="1"/>
  <c r="N99" i="1"/>
  <c r="N100" i="1" s="1"/>
  <c r="AF98" i="1"/>
  <c r="AF95" i="1"/>
  <c r="AF94" i="1"/>
  <c r="AD76" i="1"/>
  <c r="AB76" i="1"/>
  <c r="Z76" i="1"/>
  <c r="X76" i="1"/>
  <c r="V76" i="1"/>
  <c r="T76" i="1"/>
  <c r="R76" i="1"/>
  <c r="P76" i="1"/>
  <c r="N76" i="1"/>
  <c r="L76" i="1"/>
  <c r="J76" i="1"/>
  <c r="H76" i="1"/>
  <c r="AF75" i="1"/>
  <c r="AF74" i="1"/>
  <c r="AF73" i="1"/>
  <c r="Y56" i="4" s="1"/>
  <c r="Y59" i="4" s="1"/>
  <c r="Y60" i="4" s="1"/>
  <c r="Y61" i="4" s="1"/>
  <c r="AF70" i="1"/>
  <c r="AF69" i="1"/>
  <c r="AF68" i="1"/>
  <c r="AF67" i="1"/>
  <c r="AF66" i="1"/>
  <c r="AF65" i="1"/>
  <c r="AF64" i="1"/>
  <c r="X63" i="1"/>
  <c r="V63" i="1"/>
  <c r="T63" i="1"/>
  <c r="R63" i="1"/>
  <c r="N63" i="1"/>
  <c r="L63" i="1"/>
  <c r="J63" i="1"/>
  <c r="H63" i="1"/>
  <c r="AF62" i="1"/>
  <c r="AF61" i="1"/>
  <c r="AF59" i="1"/>
  <c r="AF58" i="1"/>
  <c r="AF57" i="1"/>
  <c r="AF56" i="1"/>
  <c r="AD55" i="1"/>
  <c r="AD71" i="1" s="1"/>
  <c r="AB55" i="1"/>
  <c r="AB71" i="1" s="1"/>
  <c r="Z55" i="1"/>
  <c r="Z71" i="1" s="1"/>
  <c r="X55" i="1"/>
  <c r="V55" i="1"/>
  <c r="T55" i="1"/>
  <c r="R55" i="1"/>
  <c r="P55" i="1"/>
  <c r="P71" i="1" s="1"/>
  <c r="N55" i="1"/>
  <c r="L55" i="1"/>
  <c r="J55" i="1"/>
  <c r="H55" i="1"/>
  <c r="AF54" i="1"/>
  <c r="AF53" i="1"/>
  <c r="AF52" i="1"/>
  <c r="AF50" i="1"/>
  <c r="AD48" i="1"/>
  <c r="AB48" i="1"/>
  <c r="Z48" i="1"/>
  <c r="X48" i="1"/>
  <c r="V48" i="1"/>
  <c r="T48" i="1"/>
  <c r="R48" i="1"/>
  <c r="P48" i="1"/>
  <c r="N48" i="1"/>
  <c r="L48" i="1"/>
  <c r="J48" i="1"/>
  <c r="H48" i="1"/>
  <c r="AF47" i="1"/>
  <c r="AF46" i="1"/>
  <c r="AF45" i="1"/>
  <c r="AF42" i="1"/>
  <c r="AF41" i="1"/>
  <c r="AF40" i="1"/>
  <c r="AF39" i="1"/>
  <c r="AF37" i="1"/>
  <c r="AF36" i="1"/>
  <c r="AD30" i="1"/>
  <c r="AB30" i="1"/>
  <c r="Z30" i="1"/>
  <c r="X30" i="1"/>
  <c r="V30" i="1"/>
  <c r="T30" i="1"/>
  <c r="R30" i="1"/>
  <c r="P30" i="1"/>
  <c r="N30" i="1"/>
  <c r="L30" i="1"/>
  <c r="J30" i="1"/>
  <c r="H30" i="1"/>
  <c r="AF29" i="1"/>
  <c r="AF28" i="1"/>
  <c r="AF27" i="1"/>
  <c r="T71" i="1" l="1"/>
  <c r="AF48" i="1"/>
  <c r="X71" i="1"/>
  <c r="H104" i="6"/>
  <c r="AF104" i="6" s="1"/>
  <c r="AF78" i="6"/>
  <c r="R71" i="1"/>
  <c r="J132" i="4"/>
  <c r="J45" i="4"/>
  <c r="AF7" i="1" s="1"/>
  <c r="T7" i="1" s="1"/>
  <c r="H15" i="1"/>
  <c r="J89" i="4"/>
  <c r="M89" i="4" s="1"/>
  <c r="J110" i="4"/>
  <c r="M110" i="4" s="1"/>
  <c r="J60" i="4"/>
  <c r="M60" i="4" s="1"/>
  <c r="J77" i="4"/>
  <c r="J94" i="4"/>
  <c r="M94" i="4" s="1"/>
  <c r="J111" i="4"/>
  <c r="J59" i="4"/>
  <c r="M59" i="4" s="1"/>
  <c r="J61" i="4"/>
  <c r="M61" i="4" s="1"/>
  <c r="J78" i="4"/>
  <c r="M78" i="4" s="1"/>
  <c r="N78" i="4" s="1"/>
  <c r="J95" i="4"/>
  <c r="M95" i="4" s="1"/>
  <c r="J112" i="4"/>
  <c r="M112" i="4" s="1"/>
  <c r="J54" i="4"/>
  <c r="M54" i="4" s="1"/>
  <c r="J71" i="4"/>
  <c r="J88" i="4"/>
  <c r="J105" i="4"/>
  <c r="J122" i="4"/>
  <c r="J76" i="4"/>
  <c r="M76" i="4" s="1"/>
  <c r="P16" i="1"/>
  <c r="J63" i="4"/>
  <c r="M63" i="4" s="1"/>
  <c r="J93" i="4"/>
  <c r="M93" i="4" s="1"/>
  <c r="N93" i="4" s="1"/>
  <c r="J114" i="4"/>
  <c r="M114" i="4" s="1"/>
  <c r="N114" i="4" s="1"/>
  <c r="J64" i="4"/>
  <c r="J82" i="4"/>
  <c r="J98" i="4"/>
  <c r="J115" i="4"/>
  <c r="J85" i="4"/>
  <c r="M85" i="4" s="1"/>
  <c r="J65" i="4"/>
  <c r="J83" i="4"/>
  <c r="M83" i="4" s="1"/>
  <c r="J99" i="4"/>
  <c r="M99" i="4" s="1"/>
  <c r="N99" i="4" s="1"/>
  <c r="J116" i="4"/>
  <c r="J58" i="4"/>
  <c r="M58" i="4" s="1"/>
  <c r="J75" i="4"/>
  <c r="J92" i="4"/>
  <c r="M92" i="4" s="1"/>
  <c r="J109" i="4"/>
  <c r="J126" i="4"/>
  <c r="J97" i="4"/>
  <c r="AF30" i="1"/>
  <c r="V71" i="1"/>
  <c r="X16" i="1"/>
  <c r="J72" i="4"/>
  <c r="M72" i="4" s="1"/>
  <c r="N72" i="4" s="1"/>
  <c r="J102" i="4"/>
  <c r="M102" i="4" s="1"/>
  <c r="N102" i="4" s="1"/>
  <c r="J118" i="4"/>
  <c r="J69" i="4"/>
  <c r="M69" i="4" s="1"/>
  <c r="R69" i="4" s="1"/>
  <c r="J86" i="4"/>
  <c r="J103" i="4"/>
  <c r="M103" i="4" s="1"/>
  <c r="N103" i="4" s="1"/>
  <c r="J120" i="4"/>
  <c r="J53" i="4"/>
  <c r="J70" i="4"/>
  <c r="M70" i="4" s="1"/>
  <c r="J87" i="4"/>
  <c r="M87" i="4" s="1"/>
  <c r="N87" i="4" s="1"/>
  <c r="J104" i="4"/>
  <c r="M104" i="4" s="1"/>
  <c r="J121" i="4"/>
  <c r="M121" i="4" s="1"/>
  <c r="N121" i="4" s="1"/>
  <c r="J62" i="4"/>
  <c r="J79" i="4"/>
  <c r="J96" i="4"/>
  <c r="J113" i="4"/>
  <c r="J55" i="4"/>
  <c r="M55" i="4" s="1"/>
  <c r="N55" i="4" s="1"/>
  <c r="J123" i="4"/>
  <c r="M123" i="4" s="1"/>
  <c r="N123" i="4" s="1"/>
  <c r="J81" i="4"/>
  <c r="M81" i="4" s="1"/>
  <c r="J106" i="4"/>
  <c r="M106" i="4" s="1"/>
  <c r="J56" i="4"/>
  <c r="M56" i="4" s="1"/>
  <c r="N56" i="4" s="1"/>
  <c r="J73" i="4"/>
  <c r="M73" i="4" s="1"/>
  <c r="J90" i="4"/>
  <c r="J107" i="4"/>
  <c r="J124" i="4"/>
  <c r="J57" i="4"/>
  <c r="M57" i="4" s="1"/>
  <c r="N57" i="4" s="1"/>
  <c r="J74" i="4"/>
  <c r="M74" i="4" s="1"/>
  <c r="J91" i="4"/>
  <c r="M91" i="4" s="1"/>
  <c r="J108" i="4"/>
  <c r="M108" i="4" s="1"/>
  <c r="N108" i="4" s="1"/>
  <c r="J125" i="4"/>
  <c r="J66" i="4"/>
  <c r="J84" i="4"/>
  <c r="M84" i="4" s="1"/>
  <c r="R84" i="4" s="1"/>
  <c r="J101" i="4"/>
  <c r="J117" i="4"/>
  <c r="M117" i="4" s="1"/>
  <c r="R117" i="4" s="1"/>
  <c r="J68" i="4"/>
  <c r="M68" i="4" s="1"/>
  <c r="N68" i="4" s="1"/>
  <c r="N71" i="1"/>
  <c r="J71" i="1"/>
  <c r="H42" i="4"/>
  <c r="AF23" i="1" s="1"/>
  <c r="X13" i="1"/>
  <c r="AB13" i="1"/>
  <c r="L13" i="1"/>
  <c r="M118" i="4"/>
  <c r="N118" i="4" s="1"/>
  <c r="M116" i="4"/>
  <c r="M97" i="4"/>
  <c r="M65" i="4"/>
  <c r="N65" i="4" s="1"/>
  <c r="L71" i="1"/>
  <c r="H71" i="1"/>
  <c r="H9" i="4"/>
  <c r="H21" i="4" s="1"/>
  <c r="AF83" i="1" s="1"/>
  <c r="AF100" i="1"/>
  <c r="U50" i="4"/>
  <c r="M45" i="4"/>
  <c r="K48" i="4"/>
  <c r="K50" i="4" s="1"/>
  <c r="K130" i="4" s="1"/>
  <c r="K134" i="4" s="1"/>
  <c r="K128" i="4"/>
  <c r="AF14" i="1" s="1"/>
  <c r="P14" i="1" s="1"/>
  <c r="M64" i="4"/>
  <c r="N64" i="4" s="1"/>
  <c r="M77" i="4"/>
  <c r="N77" i="4" s="1"/>
  <c r="M82" i="4"/>
  <c r="N82" i="4" s="1"/>
  <c r="M86" i="4"/>
  <c r="R86" i="4" s="1"/>
  <c r="M90" i="4"/>
  <c r="N90" i="4" s="1"/>
  <c r="M98" i="4"/>
  <c r="R98" i="4" s="1"/>
  <c r="M107" i="4"/>
  <c r="R107" i="4" s="1"/>
  <c r="M111" i="4"/>
  <c r="R111" i="4" s="1"/>
  <c r="M115" i="4"/>
  <c r="R115" i="4" s="1"/>
  <c r="M120" i="4"/>
  <c r="N120" i="4" s="1"/>
  <c r="M124" i="4"/>
  <c r="N124" i="4" s="1"/>
  <c r="U118" i="4"/>
  <c r="U117" i="4"/>
  <c r="U116" i="4"/>
  <c r="U115" i="4"/>
  <c r="U114" i="4"/>
  <c r="U113" i="4"/>
  <c r="U112" i="4"/>
  <c r="U111" i="4"/>
  <c r="U110" i="4"/>
  <c r="U109" i="4"/>
  <c r="U108" i="4"/>
  <c r="U107" i="4"/>
  <c r="U106" i="4"/>
  <c r="U105" i="4"/>
  <c r="U104" i="4"/>
  <c r="U103" i="4"/>
  <c r="U102" i="4"/>
  <c r="U101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79" i="4"/>
  <c r="U78" i="4"/>
  <c r="U77" i="4"/>
  <c r="U76" i="4"/>
  <c r="U75" i="4"/>
  <c r="U74" i="4"/>
  <c r="U73" i="4"/>
  <c r="U72" i="4"/>
  <c r="U71" i="4"/>
  <c r="U70" i="4"/>
  <c r="U69" i="4"/>
  <c r="U68" i="4"/>
  <c r="U66" i="4"/>
  <c r="U65" i="4"/>
  <c r="U64" i="4"/>
  <c r="U63" i="4"/>
  <c r="U62" i="4"/>
  <c r="U61" i="4"/>
  <c r="AF55" i="1"/>
  <c r="AD12" i="1"/>
  <c r="AB12" i="1"/>
  <c r="T12" i="1"/>
  <c r="M132" i="4"/>
  <c r="N132" i="4" s="1"/>
  <c r="AF8" i="1"/>
  <c r="F16" i="4"/>
  <c r="T16" i="4" s="1"/>
  <c r="P16" i="4" s="1"/>
  <c r="F18" i="4"/>
  <c r="T18" i="4" s="1"/>
  <c r="P18" i="4" s="1"/>
  <c r="R18" i="4" s="1"/>
  <c r="AD15" i="1"/>
  <c r="P15" i="1"/>
  <c r="AB15" i="1"/>
  <c r="L15" i="1"/>
  <c r="T15" i="1"/>
  <c r="H48" i="4"/>
  <c r="AF24" i="1"/>
  <c r="AF88" i="1"/>
  <c r="N88" i="1" s="1"/>
  <c r="M46" i="4"/>
  <c r="N46" i="4" s="1"/>
  <c r="AF22" i="1"/>
  <c r="V22" i="1" s="1"/>
  <c r="AF86" i="1"/>
  <c r="J86" i="1" s="1"/>
  <c r="H128" i="4"/>
  <c r="M62" i="4"/>
  <c r="N62" i="4" s="1"/>
  <c r="M66" i="4"/>
  <c r="R66" i="4" s="1"/>
  <c r="M71" i="4"/>
  <c r="R71" i="4" s="1"/>
  <c r="M75" i="4"/>
  <c r="R75" i="4" s="1"/>
  <c r="M79" i="4"/>
  <c r="R79" i="4" s="1"/>
  <c r="M88" i="4"/>
  <c r="R88" i="4" s="1"/>
  <c r="M96" i="4"/>
  <c r="N96" i="4" s="1"/>
  <c r="M101" i="4"/>
  <c r="R101" i="4" s="1"/>
  <c r="M105" i="4"/>
  <c r="N105" i="4" s="1"/>
  <c r="M109" i="4"/>
  <c r="M113" i="4"/>
  <c r="N113" i="4" s="1"/>
  <c r="L12" i="1"/>
  <c r="F42" i="4"/>
  <c r="AF20" i="1"/>
  <c r="J20" i="1" s="1"/>
  <c r="AF84" i="1"/>
  <c r="T84" i="1" s="1"/>
  <c r="F48" i="4"/>
  <c r="M122" i="4"/>
  <c r="N122" i="4" s="1"/>
  <c r="M126" i="4"/>
  <c r="N126" i="4" s="1"/>
  <c r="P13" i="1"/>
  <c r="AD16" i="1"/>
  <c r="M125" i="4"/>
  <c r="N125" i="4" s="1"/>
  <c r="T13" i="1"/>
  <c r="H16" i="1"/>
  <c r="AF99" i="1"/>
  <c r="AF76" i="1"/>
  <c r="L88" i="1"/>
  <c r="J15" i="1"/>
  <c r="N15" i="1"/>
  <c r="R15" i="1"/>
  <c r="V15" i="1"/>
  <c r="Z15" i="1"/>
  <c r="X14" i="1"/>
  <c r="J13" i="1"/>
  <c r="N13" i="1"/>
  <c r="R13" i="1"/>
  <c r="V13" i="1"/>
  <c r="Z13" i="1"/>
  <c r="L16" i="1"/>
  <c r="T16" i="1"/>
  <c r="H12" i="1"/>
  <c r="P12" i="1"/>
  <c r="X12" i="1"/>
  <c r="J12" i="1"/>
  <c r="N12" i="1"/>
  <c r="R12" i="1"/>
  <c r="V12" i="1"/>
  <c r="Z12" i="1"/>
  <c r="J14" i="1"/>
  <c r="Z14" i="1"/>
  <c r="J16" i="1"/>
  <c r="N16" i="1"/>
  <c r="R16" i="1"/>
  <c r="V16" i="1"/>
  <c r="Z16" i="1"/>
  <c r="AF63" i="1"/>
  <c r="N11" i="4"/>
  <c r="N13" i="4"/>
  <c r="N15" i="4"/>
  <c r="N17" i="4"/>
  <c r="N19" i="4"/>
  <c r="N27" i="4"/>
  <c r="N31" i="4"/>
  <c r="N35" i="4"/>
  <c r="N39" i="4"/>
  <c r="N45" i="4"/>
  <c r="R46" i="4"/>
  <c r="P9" i="4"/>
  <c r="N25" i="4"/>
  <c r="N29" i="4"/>
  <c r="N33" i="4"/>
  <c r="N37" i="4"/>
  <c r="N40" i="4"/>
  <c r="N54" i="4"/>
  <c r="N58" i="4"/>
  <c r="N59" i="4"/>
  <c r="N60" i="4"/>
  <c r="N61" i="4"/>
  <c r="R10" i="4"/>
  <c r="R12" i="4"/>
  <c r="R14" i="4"/>
  <c r="R16" i="4"/>
  <c r="N10" i="4"/>
  <c r="F11" i="4"/>
  <c r="T11" i="4" s="1"/>
  <c r="P11" i="4" s="1"/>
  <c r="R11" i="4" s="1"/>
  <c r="N12" i="4"/>
  <c r="F13" i="4"/>
  <c r="T13" i="4" s="1"/>
  <c r="P13" i="4" s="1"/>
  <c r="R13" i="4" s="1"/>
  <c r="N14" i="4"/>
  <c r="F15" i="4"/>
  <c r="T15" i="4" s="1"/>
  <c r="P15" i="4" s="1"/>
  <c r="R15" i="4" s="1"/>
  <c r="N16" i="4"/>
  <c r="F17" i="4"/>
  <c r="T17" i="4" s="1"/>
  <c r="P17" i="4" s="1"/>
  <c r="R17" i="4" s="1"/>
  <c r="N18" i="4"/>
  <c r="F19" i="4"/>
  <c r="T19" i="4" s="1"/>
  <c r="P19" i="4" s="1"/>
  <c r="R19" i="4" s="1"/>
  <c r="F21" i="4"/>
  <c r="F24" i="4"/>
  <c r="T24" i="4" s="1"/>
  <c r="F25" i="4"/>
  <c r="T25" i="4" s="1"/>
  <c r="P25" i="4" s="1"/>
  <c r="R25" i="4" s="1"/>
  <c r="N26" i="4"/>
  <c r="F27" i="4"/>
  <c r="T27" i="4" s="1"/>
  <c r="P27" i="4" s="1"/>
  <c r="R27" i="4" s="1"/>
  <c r="N28" i="4"/>
  <c r="F29" i="4"/>
  <c r="T29" i="4" s="1"/>
  <c r="P29" i="4" s="1"/>
  <c r="R29" i="4" s="1"/>
  <c r="N30" i="4"/>
  <c r="F31" i="4"/>
  <c r="T31" i="4" s="1"/>
  <c r="P31" i="4" s="1"/>
  <c r="R31" i="4" s="1"/>
  <c r="N32" i="4"/>
  <c r="F33" i="4"/>
  <c r="T33" i="4" s="1"/>
  <c r="P33" i="4" s="1"/>
  <c r="R33" i="4" s="1"/>
  <c r="N34" i="4"/>
  <c r="F35" i="4"/>
  <c r="T35" i="4" s="1"/>
  <c r="P35" i="4" s="1"/>
  <c r="R35" i="4" s="1"/>
  <c r="N36" i="4"/>
  <c r="F37" i="4"/>
  <c r="T37" i="4" s="1"/>
  <c r="P37" i="4" s="1"/>
  <c r="R37" i="4" s="1"/>
  <c r="N38" i="4"/>
  <c r="F39" i="4"/>
  <c r="T39" i="4" s="1"/>
  <c r="P39" i="4" s="1"/>
  <c r="R39" i="4" s="1"/>
  <c r="F44" i="4"/>
  <c r="T44" i="4" s="1"/>
  <c r="M44" i="4"/>
  <c r="J48" i="4"/>
  <c r="J50" i="4" s="1"/>
  <c r="F130" i="4"/>
  <c r="F126" i="4"/>
  <c r="T126" i="4" s="1"/>
  <c r="F125" i="4"/>
  <c r="T125" i="4" s="1"/>
  <c r="F124" i="4"/>
  <c r="T124" i="4" s="1"/>
  <c r="F123" i="4"/>
  <c r="T123" i="4" s="1"/>
  <c r="F122" i="4"/>
  <c r="T122" i="4" s="1"/>
  <c r="F121" i="4"/>
  <c r="T121" i="4" s="1"/>
  <c r="F120" i="4"/>
  <c r="T120" i="4" s="1"/>
  <c r="F118" i="4"/>
  <c r="T118" i="4" s="1"/>
  <c r="P118" i="4" s="1"/>
  <c r="F117" i="4"/>
  <c r="T117" i="4" s="1"/>
  <c r="P117" i="4" s="1"/>
  <c r="F116" i="4"/>
  <c r="T116" i="4" s="1"/>
  <c r="P116" i="4" s="1"/>
  <c r="R116" i="4" s="1"/>
  <c r="F115" i="4"/>
  <c r="T115" i="4" s="1"/>
  <c r="P115" i="4" s="1"/>
  <c r="F114" i="4"/>
  <c r="T114" i="4" s="1"/>
  <c r="P114" i="4" s="1"/>
  <c r="R114" i="4" s="1"/>
  <c r="F113" i="4"/>
  <c r="T113" i="4" s="1"/>
  <c r="P113" i="4" s="1"/>
  <c r="F112" i="4"/>
  <c r="T112" i="4" s="1"/>
  <c r="P112" i="4" s="1"/>
  <c r="R112" i="4" s="1"/>
  <c r="F111" i="4"/>
  <c r="T111" i="4" s="1"/>
  <c r="P111" i="4" s="1"/>
  <c r="F110" i="4"/>
  <c r="T110" i="4" s="1"/>
  <c r="P110" i="4" s="1"/>
  <c r="R110" i="4" s="1"/>
  <c r="F109" i="4"/>
  <c r="T109" i="4" s="1"/>
  <c r="P109" i="4" s="1"/>
  <c r="F108" i="4"/>
  <c r="T108" i="4" s="1"/>
  <c r="P108" i="4" s="1"/>
  <c r="F107" i="4"/>
  <c r="T107" i="4" s="1"/>
  <c r="P107" i="4" s="1"/>
  <c r="F106" i="4"/>
  <c r="T106" i="4" s="1"/>
  <c r="P106" i="4" s="1"/>
  <c r="R106" i="4" s="1"/>
  <c r="F105" i="4"/>
  <c r="T105" i="4" s="1"/>
  <c r="P105" i="4" s="1"/>
  <c r="F104" i="4"/>
  <c r="T104" i="4" s="1"/>
  <c r="P104" i="4" s="1"/>
  <c r="R104" i="4" s="1"/>
  <c r="F103" i="4"/>
  <c r="T103" i="4" s="1"/>
  <c r="P103" i="4" s="1"/>
  <c r="F102" i="4"/>
  <c r="T102" i="4" s="1"/>
  <c r="P102" i="4" s="1"/>
  <c r="R102" i="4" s="1"/>
  <c r="F101" i="4"/>
  <c r="T101" i="4" s="1"/>
  <c r="P101" i="4" s="1"/>
  <c r="F99" i="4"/>
  <c r="T99" i="4" s="1"/>
  <c r="P99" i="4" s="1"/>
  <c r="F98" i="4"/>
  <c r="T98" i="4" s="1"/>
  <c r="P98" i="4" s="1"/>
  <c r="F97" i="4"/>
  <c r="T97" i="4" s="1"/>
  <c r="P97" i="4" s="1"/>
  <c r="F96" i="4"/>
  <c r="T96" i="4" s="1"/>
  <c r="P96" i="4" s="1"/>
  <c r="F95" i="4"/>
  <c r="T95" i="4" s="1"/>
  <c r="P95" i="4" s="1"/>
  <c r="R95" i="4" s="1"/>
  <c r="F94" i="4"/>
  <c r="T94" i="4" s="1"/>
  <c r="P94" i="4" s="1"/>
  <c r="F93" i="4"/>
  <c r="T93" i="4" s="1"/>
  <c r="P93" i="4" s="1"/>
  <c r="R93" i="4" s="1"/>
  <c r="F92" i="4"/>
  <c r="T92" i="4" s="1"/>
  <c r="P92" i="4" s="1"/>
  <c r="F91" i="4"/>
  <c r="T91" i="4" s="1"/>
  <c r="P91" i="4" s="1"/>
  <c r="R91" i="4" s="1"/>
  <c r="F90" i="4"/>
  <c r="T90" i="4" s="1"/>
  <c r="P90" i="4" s="1"/>
  <c r="F89" i="4"/>
  <c r="T89" i="4" s="1"/>
  <c r="P89" i="4" s="1"/>
  <c r="R89" i="4" s="1"/>
  <c r="F88" i="4"/>
  <c r="T88" i="4" s="1"/>
  <c r="P88" i="4" s="1"/>
  <c r="F87" i="4"/>
  <c r="T87" i="4" s="1"/>
  <c r="P87" i="4" s="1"/>
  <c r="F86" i="4"/>
  <c r="T86" i="4" s="1"/>
  <c r="P86" i="4" s="1"/>
  <c r="F85" i="4"/>
  <c r="T85" i="4" s="1"/>
  <c r="P85" i="4" s="1"/>
  <c r="R85" i="4" s="1"/>
  <c r="F84" i="4"/>
  <c r="T84" i="4" s="1"/>
  <c r="P84" i="4" s="1"/>
  <c r="F83" i="4"/>
  <c r="T83" i="4" s="1"/>
  <c r="P83" i="4" s="1"/>
  <c r="F82" i="4"/>
  <c r="T82" i="4" s="1"/>
  <c r="P82" i="4" s="1"/>
  <c r="F81" i="4"/>
  <c r="T81" i="4" s="1"/>
  <c r="P81" i="4" s="1"/>
  <c r="R81" i="4" s="1"/>
  <c r="F79" i="4"/>
  <c r="T79" i="4" s="1"/>
  <c r="P79" i="4" s="1"/>
  <c r="F78" i="4"/>
  <c r="T78" i="4" s="1"/>
  <c r="P78" i="4" s="1"/>
  <c r="F77" i="4"/>
  <c r="T77" i="4" s="1"/>
  <c r="P77" i="4" s="1"/>
  <c r="F76" i="4"/>
  <c r="T76" i="4" s="1"/>
  <c r="P76" i="4" s="1"/>
  <c r="R76" i="4" s="1"/>
  <c r="F75" i="4"/>
  <c r="T75" i="4" s="1"/>
  <c r="P75" i="4" s="1"/>
  <c r="F74" i="4"/>
  <c r="T74" i="4" s="1"/>
  <c r="P74" i="4" s="1"/>
  <c r="F73" i="4"/>
  <c r="T73" i="4" s="1"/>
  <c r="P73" i="4" s="1"/>
  <c r="F72" i="4"/>
  <c r="T72" i="4" s="1"/>
  <c r="P72" i="4" s="1"/>
  <c r="F71" i="4"/>
  <c r="T71" i="4" s="1"/>
  <c r="P71" i="4" s="1"/>
  <c r="F70" i="4"/>
  <c r="T70" i="4" s="1"/>
  <c r="P70" i="4" s="1"/>
  <c r="F69" i="4"/>
  <c r="T69" i="4" s="1"/>
  <c r="P69" i="4" s="1"/>
  <c r="F68" i="4"/>
  <c r="T68" i="4" s="1"/>
  <c r="P68" i="4" s="1"/>
  <c r="F66" i="4"/>
  <c r="T66" i="4" s="1"/>
  <c r="P66" i="4" s="1"/>
  <c r="F65" i="4"/>
  <c r="T65" i="4" s="1"/>
  <c r="P65" i="4" s="1"/>
  <c r="F64" i="4"/>
  <c r="T64" i="4" s="1"/>
  <c r="P64" i="4" s="1"/>
  <c r="F63" i="4"/>
  <c r="T63" i="4" s="1"/>
  <c r="P63" i="4" s="1"/>
  <c r="R63" i="4" s="1"/>
  <c r="N63" i="4"/>
  <c r="N70" i="4"/>
  <c r="N74" i="4"/>
  <c r="N75" i="4"/>
  <c r="N76" i="4"/>
  <c r="R77" i="4"/>
  <c r="N81" i="4"/>
  <c r="N83" i="4"/>
  <c r="N85" i="4"/>
  <c r="N89" i="4"/>
  <c r="R90" i="4"/>
  <c r="N91" i="4"/>
  <c r="N95" i="4"/>
  <c r="N97" i="4"/>
  <c r="N104" i="4"/>
  <c r="N106" i="4"/>
  <c r="R109" i="4"/>
  <c r="N109" i="4"/>
  <c r="N110" i="4"/>
  <c r="N111" i="4"/>
  <c r="N112" i="4"/>
  <c r="N116" i="4"/>
  <c r="M24" i="4"/>
  <c r="F26" i="4"/>
  <c r="T26" i="4" s="1"/>
  <c r="P26" i="4" s="1"/>
  <c r="R26" i="4" s="1"/>
  <c r="F28" i="4"/>
  <c r="T28" i="4" s="1"/>
  <c r="P28" i="4" s="1"/>
  <c r="R28" i="4" s="1"/>
  <c r="F30" i="4"/>
  <c r="T30" i="4" s="1"/>
  <c r="P30" i="4" s="1"/>
  <c r="R30" i="4" s="1"/>
  <c r="F32" i="4"/>
  <c r="T32" i="4" s="1"/>
  <c r="P32" i="4" s="1"/>
  <c r="R32" i="4" s="1"/>
  <c r="F34" i="4"/>
  <c r="T34" i="4" s="1"/>
  <c r="P34" i="4" s="1"/>
  <c r="R34" i="4" s="1"/>
  <c r="F36" i="4"/>
  <c r="T36" i="4" s="1"/>
  <c r="P36" i="4" s="1"/>
  <c r="R36" i="4" s="1"/>
  <c r="F38" i="4"/>
  <c r="T38" i="4" s="1"/>
  <c r="P38" i="4" s="1"/>
  <c r="R38" i="4" s="1"/>
  <c r="F40" i="4"/>
  <c r="T40" i="4" s="1"/>
  <c r="P40" i="4" s="1"/>
  <c r="R40" i="4" s="1"/>
  <c r="F45" i="4"/>
  <c r="T45" i="4" s="1"/>
  <c r="P45" i="4" s="1"/>
  <c r="F53" i="4"/>
  <c r="T53" i="4" s="1"/>
  <c r="M53" i="4"/>
  <c r="F54" i="4"/>
  <c r="T54" i="4" s="1"/>
  <c r="P54" i="4" s="1"/>
  <c r="R54" i="4" s="1"/>
  <c r="F55" i="4"/>
  <c r="T55" i="4" s="1"/>
  <c r="P55" i="4" s="1"/>
  <c r="F56" i="4"/>
  <c r="T56" i="4" s="1"/>
  <c r="P56" i="4" s="1"/>
  <c r="R56" i="4" s="1"/>
  <c r="F57" i="4"/>
  <c r="T57" i="4" s="1"/>
  <c r="P57" i="4" s="1"/>
  <c r="R57" i="4" s="1"/>
  <c r="F58" i="4"/>
  <c r="T58" i="4" s="1"/>
  <c r="P58" i="4" s="1"/>
  <c r="R58" i="4" s="1"/>
  <c r="F59" i="4"/>
  <c r="T59" i="4" s="1"/>
  <c r="P59" i="4" s="1"/>
  <c r="R59" i="4" s="1"/>
  <c r="F60" i="4"/>
  <c r="T60" i="4" s="1"/>
  <c r="P60" i="4" s="1"/>
  <c r="R60" i="4" s="1"/>
  <c r="F61" i="4"/>
  <c r="T61" i="4" s="1"/>
  <c r="P61" i="4" s="1"/>
  <c r="R61" i="4" s="1"/>
  <c r="F62" i="4"/>
  <c r="T62" i="4" s="1"/>
  <c r="P62" i="4" s="1"/>
  <c r="F128" i="4"/>
  <c r="U120" i="4"/>
  <c r="U121" i="4"/>
  <c r="U122" i="4"/>
  <c r="U123" i="4"/>
  <c r="U124" i="4"/>
  <c r="U125" i="4"/>
  <c r="U126" i="4"/>
  <c r="L84" i="1" l="1"/>
  <c r="R108" i="4"/>
  <c r="R83" i="4"/>
  <c r="R87" i="4"/>
  <c r="R70" i="4"/>
  <c r="R74" i="4"/>
  <c r="R68" i="4"/>
  <c r="R72" i="4"/>
  <c r="R55" i="4"/>
  <c r="R64" i="4"/>
  <c r="N73" i="4"/>
  <c r="R73" i="4"/>
  <c r="X17" i="1"/>
  <c r="R99" i="4"/>
  <c r="N107" i="4"/>
  <c r="N71" i="4"/>
  <c r="H14" i="1"/>
  <c r="H17" i="1" s="1"/>
  <c r="R105" i="4"/>
  <c r="R14" i="1"/>
  <c r="J84" i="1"/>
  <c r="J128" i="4"/>
  <c r="AF9" i="1" s="1"/>
  <c r="R92" i="4"/>
  <c r="N92" i="4"/>
  <c r="R94" i="4"/>
  <c r="N94" i="4"/>
  <c r="R132" i="4"/>
  <c r="AF71" i="1"/>
  <c r="R7" i="1"/>
  <c r="AB7" i="1"/>
  <c r="N7" i="1"/>
  <c r="L7" i="1"/>
  <c r="V7" i="1"/>
  <c r="Z7" i="1"/>
  <c r="J7" i="1"/>
  <c r="V20" i="1"/>
  <c r="Z20" i="1"/>
  <c r="R45" i="4"/>
  <c r="AF87" i="1"/>
  <c r="V87" i="1" s="1"/>
  <c r="L23" i="1"/>
  <c r="T23" i="1"/>
  <c r="N98" i="4"/>
  <c r="R82" i="4"/>
  <c r="R96" i="4"/>
  <c r="N86" i="4"/>
  <c r="N79" i="4"/>
  <c r="R62" i="4"/>
  <c r="N115" i="4"/>
  <c r="R103" i="4"/>
  <c r="N84" i="4"/>
  <c r="N117" i="4"/>
  <c r="N101" i="4"/>
  <c r="R113" i="4"/>
  <c r="R118" i="4"/>
  <c r="N69" i="4"/>
  <c r="N66" i="4"/>
  <c r="R65" i="4"/>
  <c r="N88" i="4"/>
  <c r="R97" i="4"/>
  <c r="R78" i="4"/>
  <c r="R20" i="1"/>
  <c r="Z84" i="1"/>
  <c r="N20" i="1"/>
  <c r="R84" i="1"/>
  <c r="L22" i="1"/>
  <c r="R86" i="1"/>
  <c r="P86" i="1"/>
  <c r="N86" i="1"/>
  <c r="H86" i="1"/>
  <c r="V86" i="1"/>
  <c r="X86" i="1"/>
  <c r="T22" i="1"/>
  <c r="N22" i="1"/>
  <c r="Z86" i="1"/>
  <c r="R88" i="1"/>
  <c r="Z88" i="1"/>
  <c r="N24" i="1"/>
  <c r="Z24" i="1"/>
  <c r="J24" i="1"/>
  <c r="J88" i="1"/>
  <c r="R24" i="1"/>
  <c r="V24" i="1"/>
  <c r="R87" i="1"/>
  <c r="H23" i="1"/>
  <c r="AF19" i="1"/>
  <c r="P19" i="1" s="1"/>
  <c r="M9" i="4"/>
  <c r="H50" i="4"/>
  <c r="H130" i="4" s="1"/>
  <c r="H134" i="4" s="1"/>
  <c r="V83" i="1"/>
  <c r="J83" i="1"/>
  <c r="Z83" i="1"/>
  <c r="R83" i="1"/>
  <c r="U128" i="4"/>
  <c r="U130" i="4" s="1"/>
  <c r="V14" i="1"/>
  <c r="R22" i="1"/>
  <c r="P23" i="1"/>
  <c r="V88" i="1"/>
  <c r="N84" i="1"/>
  <c r="T88" i="1"/>
  <c r="AD86" i="1"/>
  <c r="T86" i="1"/>
  <c r="L86" i="1"/>
  <c r="AB86" i="1"/>
  <c r="AD24" i="1"/>
  <c r="P24" i="1"/>
  <c r="AB24" i="1"/>
  <c r="L24" i="1"/>
  <c r="X24" i="1"/>
  <c r="H24" i="1"/>
  <c r="T24" i="1"/>
  <c r="AB84" i="1"/>
  <c r="AD84" i="1"/>
  <c r="X84" i="1"/>
  <c r="P84" i="1"/>
  <c r="H84" i="1"/>
  <c r="AB22" i="1"/>
  <c r="H22" i="1"/>
  <c r="AD22" i="1"/>
  <c r="X22" i="1"/>
  <c r="P22" i="1"/>
  <c r="AD7" i="1"/>
  <c r="H7" i="1"/>
  <c r="P7" i="1"/>
  <c r="X7" i="1"/>
  <c r="AD83" i="1"/>
  <c r="AB83" i="1"/>
  <c r="L83" i="1"/>
  <c r="X83" i="1"/>
  <c r="H83" i="1"/>
  <c r="T83" i="1"/>
  <c r="P83" i="1"/>
  <c r="N14" i="1"/>
  <c r="N17" i="1" s="1"/>
  <c r="P17" i="1"/>
  <c r="Z22" i="1"/>
  <c r="J22" i="1"/>
  <c r="X23" i="1"/>
  <c r="V84" i="1"/>
  <c r="N83" i="1"/>
  <c r="AB20" i="1"/>
  <c r="L20" i="1"/>
  <c r="X20" i="1"/>
  <c r="H20" i="1"/>
  <c r="T20" i="1"/>
  <c r="AD20" i="1"/>
  <c r="P20" i="1"/>
  <c r="AF21" i="1"/>
  <c r="AF85" i="1"/>
  <c r="AB88" i="1"/>
  <c r="H88" i="1"/>
  <c r="AD88" i="1"/>
  <c r="X88" i="1"/>
  <c r="P88" i="1"/>
  <c r="AB23" i="1"/>
  <c r="Z23" i="1"/>
  <c r="J23" i="1"/>
  <c r="V23" i="1"/>
  <c r="R23" i="1"/>
  <c r="AD23" i="1"/>
  <c r="N23" i="1"/>
  <c r="AD14" i="1"/>
  <c r="AD17" i="1" s="1"/>
  <c r="T14" i="1"/>
  <c r="T17" i="1" s="1"/>
  <c r="L14" i="1"/>
  <c r="L17" i="1" s="1"/>
  <c r="AB14" i="1"/>
  <c r="AB17" i="1" s="1"/>
  <c r="V17" i="1"/>
  <c r="Z17" i="1"/>
  <c r="R17" i="1"/>
  <c r="J17" i="1"/>
  <c r="T128" i="4"/>
  <c r="P53" i="4"/>
  <c r="R53" i="4" s="1"/>
  <c r="M42" i="4"/>
  <c r="N24" i="4"/>
  <c r="N42" i="4" s="1"/>
  <c r="N44" i="4"/>
  <c r="N48" i="4" s="1"/>
  <c r="M48" i="4"/>
  <c r="P120" i="4"/>
  <c r="R120" i="4" s="1"/>
  <c r="P122" i="4"/>
  <c r="R122" i="4" s="1"/>
  <c r="P124" i="4"/>
  <c r="R124" i="4" s="1"/>
  <c r="P126" i="4"/>
  <c r="R126" i="4" s="1"/>
  <c r="T21" i="4"/>
  <c r="M128" i="4"/>
  <c r="N53" i="4"/>
  <c r="T48" i="4"/>
  <c r="P44" i="4"/>
  <c r="P48" i="4" s="1"/>
  <c r="P24" i="4"/>
  <c r="P42" i="4" s="1"/>
  <c r="T42" i="4"/>
  <c r="R9" i="4"/>
  <c r="R21" i="4" s="1"/>
  <c r="N9" i="4"/>
  <c r="N21" i="4" s="1"/>
  <c r="M21" i="4"/>
  <c r="P121" i="4"/>
  <c r="R121" i="4" s="1"/>
  <c r="P123" i="4"/>
  <c r="R123" i="4" s="1"/>
  <c r="P125" i="4"/>
  <c r="R125" i="4" s="1"/>
  <c r="P21" i="4"/>
  <c r="P87" i="1" l="1"/>
  <c r="N19" i="1"/>
  <c r="T87" i="1"/>
  <c r="N87" i="1"/>
  <c r="J130" i="4"/>
  <c r="J134" i="4" s="1"/>
  <c r="J19" i="1"/>
  <c r="H19" i="1"/>
  <c r="H87" i="1"/>
  <c r="AB87" i="1"/>
  <c r="X87" i="1"/>
  <c r="AD87" i="1"/>
  <c r="J87" i="1"/>
  <c r="L87" i="1"/>
  <c r="Z87" i="1"/>
  <c r="N128" i="4"/>
  <c r="R19" i="1"/>
  <c r="AB19" i="1"/>
  <c r="L19" i="1"/>
  <c r="AD19" i="1"/>
  <c r="X19" i="1"/>
  <c r="Z19" i="1"/>
  <c r="V19" i="1"/>
  <c r="T19" i="1"/>
  <c r="AB85" i="1"/>
  <c r="V85" i="1"/>
  <c r="V89" i="1" s="1"/>
  <c r="V90" i="1" s="1"/>
  <c r="V91" i="1" s="1"/>
  <c r="V101" i="1" s="1"/>
  <c r="R85" i="1"/>
  <c r="R89" i="1" s="1"/>
  <c r="R90" i="1" s="1"/>
  <c r="R91" i="1" s="1"/>
  <c r="R101" i="1" s="1"/>
  <c r="AD85" i="1"/>
  <c r="AD89" i="1" s="1"/>
  <c r="AD90" i="1" s="1"/>
  <c r="AD91" i="1" s="1"/>
  <c r="AD101" i="1" s="1"/>
  <c r="N85" i="1"/>
  <c r="N89" i="1" s="1"/>
  <c r="N90" i="1" s="1"/>
  <c r="N91" i="1" s="1"/>
  <c r="N101" i="1" s="1"/>
  <c r="Z85" i="1"/>
  <c r="J85" i="1"/>
  <c r="H85" i="1"/>
  <c r="X85" i="1"/>
  <c r="L85" i="1"/>
  <c r="L89" i="1" s="1"/>
  <c r="L90" i="1" s="1"/>
  <c r="L91" i="1" s="1"/>
  <c r="L101" i="1" s="1"/>
  <c r="P85" i="1"/>
  <c r="P89" i="1" s="1"/>
  <c r="P90" i="1" s="1"/>
  <c r="P91" i="1" s="1"/>
  <c r="P101" i="1" s="1"/>
  <c r="T85" i="1"/>
  <c r="T89" i="1" s="1"/>
  <c r="T90" i="1" s="1"/>
  <c r="T91" i="1" s="1"/>
  <c r="T101" i="1" s="1"/>
  <c r="AB21" i="1"/>
  <c r="R21" i="1"/>
  <c r="AD21" i="1"/>
  <c r="N21" i="1"/>
  <c r="Z21" i="1"/>
  <c r="J21" i="1"/>
  <c r="V21" i="1"/>
  <c r="V25" i="1" s="1"/>
  <c r="H21" i="1"/>
  <c r="H25" i="1" s="1"/>
  <c r="X21" i="1"/>
  <c r="L21" i="1"/>
  <c r="P21" i="1"/>
  <c r="P25" i="1" s="1"/>
  <c r="T21" i="1"/>
  <c r="M50" i="4"/>
  <c r="M130" i="4" s="1"/>
  <c r="M134" i="4" s="1"/>
  <c r="AF38" i="1" s="1"/>
  <c r="N50" i="4"/>
  <c r="AF17" i="1"/>
  <c r="P50" i="4"/>
  <c r="R128" i="4"/>
  <c r="T50" i="4"/>
  <c r="T130" i="4" s="1"/>
  <c r="R44" i="4"/>
  <c r="R48" i="4" s="1"/>
  <c r="R24" i="4"/>
  <c r="R42" i="4" s="1"/>
  <c r="P128" i="4"/>
  <c r="P130" i="4" s="1"/>
  <c r="P134" i="4" s="1"/>
  <c r="R25" i="1" l="1"/>
  <c r="N25" i="1"/>
  <c r="L25" i="1"/>
  <c r="J25" i="1"/>
  <c r="AD25" i="1"/>
  <c r="H89" i="1"/>
  <c r="H90" i="1" s="1"/>
  <c r="H91" i="1" s="1"/>
  <c r="H101" i="1" s="1"/>
  <c r="AB89" i="1"/>
  <c r="AB90" i="1" s="1"/>
  <c r="AB91" i="1" s="1"/>
  <c r="AB101" i="1" s="1"/>
  <c r="J89" i="1"/>
  <c r="J90" i="1" s="1"/>
  <c r="Z89" i="1"/>
  <c r="Z90" i="1" s="1"/>
  <c r="Z91" i="1" s="1"/>
  <c r="Z101" i="1" s="1"/>
  <c r="X89" i="1"/>
  <c r="X90" i="1" s="1"/>
  <c r="X91" i="1" s="1"/>
  <c r="X101" i="1" s="1"/>
  <c r="N130" i="4"/>
  <c r="N134" i="4" s="1"/>
  <c r="AB25" i="1"/>
  <c r="X25" i="1"/>
  <c r="Z25" i="1"/>
  <c r="T25" i="1"/>
  <c r="AD38" i="1"/>
  <c r="AD43" i="1" s="1"/>
  <c r="AD77" i="1" s="1"/>
  <c r="T38" i="1"/>
  <c r="T43" i="1" s="1"/>
  <c r="T77" i="1" s="1"/>
  <c r="P38" i="1"/>
  <c r="P43" i="1" s="1"/>
  <c r="P77" i="1" s="1"/>
  <c r="V38" i="1"/>
  <c r="V43" i="1" s="1"/>
  <c r="V77" i="1" s="1"/>
  <c r="L38" i="1"/>
  <c r="L43" i="1" s="1"/>
  <c r="L77" i="1" s="1"/>
  <c r="X38" i="1"/>
  <c r="X43" i="1" s="1"/>
  <c r="X77" i="1" s="1"/>
  <c r="J38" i="1"/>
  <c r="J43" i="1" s="1"/>
  <c r="J77" i="1" s="1"/>
  <c r="Z38" i="1"/>
  <c r="Z43" i="1" s="1"/>
  <c r="Z77" i="1" s="1"/>
  <c r="AB38" i="1"/>
  <c r="AB43" i="1" s="1"/>
  <c r="AB77" i="1" s="1"/>
  <c r="N38" i="1"/>
  <c r="N43" i="1" s="1"/>
  <c r="N77" i="1" s="1"/>
  <c r="H38" i="1"/>
  <c r="H43" i="1" s="1"/>
  <c r="R38" i="1"/>
  <c r="R43" i="1" s="1"/>
  <c r="R77" i="1" s="1"/>
  <c r="J91" i="1"/>
  <c r="R50" i="4"/>
  <c r="R130" i="4" s="1"/>
  <c r="R134" i="4" s="1"/>
  <c r="X8" i="1"/>
  <c r="T8" i="1"/>
  <c r="V8" i="1"/>
  <c r="R8" i="1"/>
  <c r="AB8" i="1"/>
  <c r="P8" i="1"/>
  <c r="L8" i="1"/>
  <c r="AD8" i="1"/>
  <c r="Z8" i="1"/>
  <c r="N8" i="1"/>
  <c r="H8" i="1"/>
  <c r="J8" i="1"/>
  <c r="T9" i="1"/>
  <c r="V9" i="1"/>
  <c r="X9" i="1"/>
  <c r="R9" i="1"/>
  <c r="R10" i="1" s="1"/>
  <c r="R31" i="1" s="1"/>
  <c r="R32" i="1" s="1"/>
  <c r="R33" i="1" s="1"/>
  <c r="AB9" i="1"/>
  <c r="P9" i="1"/>
  <c r="P10" i="1" s="1"/>
  <c r="P31" i="1" s="1"/>
  <c r="P32" i="1" s="1"/>
  <c r="P33" i="1" s="1"/>
  <c r="N9" i="1"/>
  <c r="L9" i="1"/>
  <c r="J9" i="1"/>
  <c r="AD9" i="1"/>
  <c r="H9" i="1"/>
  <c r="H10" i="1" s="1"/>
  <c r="Z9" i="1"/>
  <c r="AF90" i="1" l="1"/>
  <c r="AF89" i="1"/>
  <c r="AB10" i="1"/>
  <c r="AB31" i="1" s="1"/>
  <c r="AB32" i="1" s="1"/>
  <c r="AB33" i="1" s="1"/>
  <c r="AB78" i="1" s="1"/>
  <c r="AB102" i="1" s="1"/>
  <c r="X10" i="1"/>
  <c r="X31" i="1" s="1"/>
  <c r="X32" i="1" s="1"/>
  <c r="X33" i="1" s="1"/>
  <c r="X78" i="1" s="1"/>
  <c r="X102" i="1" s="1"/>
  <c r="AD10" i="1"/>
  <c r="AD31" i="1" s="1"/>
  <c r="AD32" i="1" s="1"/>
  <c r="AD33" i="1" s="1"/>
  <c r="AD78" i="1" s="1"/>
  <c r="AD102" i="1" s="1"/>
  <c r="P78" i="1"/>
  <c r="P102" i="1" s="1"/>
  <c r="AF25" i="1"/>
  <c r="R78" i="1"/>
  <c r="R102" i="1" s="1"/>
  <c r="N10" i="1"/>
  <c r="N31" i="1" s="1"/>
  <c r="N32" i="1" s="1"/>
  <c r="N33" i="1" s="1"/>
  <c r="N78" i="1" s="1"/>
  <c r="N102" i="1" s="1"/>
  <c r="H77" i="1"/>
  <c r="AF77" i="1" s="1"/>
  <c r="AF43" i="1"/>
  <c r="J10" i="1"/>
  <c r="J31" i="1" s="1"/>
  <c r="J32" i="1" s="1"/>
  <c r="J33" i="1" s="1"/>
  <c r="J78" i="1" s="1"/>
  <c r="T10" i="1"/>
  <c r="T31" i="1" s="1"/>
  <c r="T32" i="1" s="1"/>
  <c r="T33" i="1" s="1"/>
  <c r="T78" i="1" s="1"/>
  <c r="T102" i="1" s="1"/>
  <c r="Z10" i="1"/>
  <c r="Z31" i="1" s="1"/>
  <c r="Z32" i="1" s="1"/>
  <c r="Z33" i="1" s="1"/>
  <c r="Z78" i="1" s="1"/>
  <c r="Z102" i="1" s="1"/>
  <c r="L10" i="1"/>
  <c r="L31" i="1" s="1"/>
  <c r="L32" i="1" s="1"/>
  <c r="L33" i="1" s="1"/>
  <c r="L78" i="1" s="1"/>
  <c r="L102" i="1" s="1"/>
  <c r="J101" i="1"/>
  <c r="AF101" i="1" s="1"/>
  <c r="AF91" i="1"/>
  <c r="V10" i="1"/>
  <c r="V31" i="1" s="1"/>
  <c r="V32" i="1" s="1"/>
  <c r="V33" i="1" s="1"/>
  <c r="V78" i="1" s="1"/>
  <c r="V102" i="1" s="1"/>
  <c r="H31" i="1"/>
  <c r="J102" i="1" l="1"/>
  <c r="AF10" i="1"/>
  <c r="H32" i="1"/>
  <c r="AF31" i="1"/>
  <c r="AF32" i="1" l="1"/>
  <c r="H33" i="1"/>
  <c r="AF33" i="1" l="1"/>
  <c r="H78" i="1"/>
  <c r="AF78" i="1" l="1"/>
  <c r="H102" i="1"/>
  <c r="AF102" i="1" s="1"/>
</calcChain>
</file>

<file path=xl/sharedStrings.xml><?xml version="1.0" encoding="utf-8"?>
<sst xmlns="http://schemas.openxmlformats.org/spreadsheetml/2006/main" count="399" uniqueCount="233">
  <si>
    <t>TOTAL</t>
  </si>
  <si>
    <t>Jan 12</t>
  </si>
  <si>
    <t>Feb 12</t>
  </si>
  <si>
    <t>Mar 12</t>
  </si>
  <si>
    <t>Apr 12</t>
  </si>
  <si>
    <t>May 12</t>
  </si>
  <si>
    <t>Jun 12</t>
  </si>
  <si>
    <t>Jul 12</t>
  </si>
  <si>
    <t>Aug 12</t>
  </si>
  <si>
    <t>Sep 12</t>
  </si>
  <si>
    <t>Oct 12</t>
  </si>
  <si>
    <t>Nov 12</t>
  </si>
  <si>
    <t>Dec 12</t>
  </si>
  <si>
    <t>Jan - Dec 12</t>
  </si>
  <si>
    <t>Ordinary Income/Expense</t>
  </si>
  <si>
    <t>Income</t>
  </si>
  <si>
    <t>Assessments - Electric</t>
  </si>
  <si>
    <t>Grantors</t>
  </si>
  <si>
    <t>Hotel Operator</t>
  </si>
  <si>
    <t>Hotel Owner</t>
  </si>
  <si>
    <t>Total Assessments - Electric</t>
  </si>
  <si>
    <t>Assessments - Gas</t>
  </si>
  <si>
    <t>Residential</t>
  </si>
  <si>
    <t>Restaurant</t>
  </si>
  <si>
    <t>Total Assessments - Gas</t>
  </si>
  <si>
    <t>Assessments - Operating</t>
  </si>
  <si>
    <t>Commercial</t>
  </si>
  <si>
    <t>Managers</t>
  </si>
  <si>
    <t>Total Assessments - Operating</t>
  </si>
  <si>
    <t>Other Income</t>
  </si>
  <si>
    <t>Common Area Restrooms</t>
  </si>
  <si>
    <t>Finance Fee Income</t>
  </si>
  <si>
    <t>Interest Income</t>
  </si>
  <si>
    <t>Total Other Income</t>
  </si>
  <si>
    <t>Total Income</t>
  </si>
  <si>
    <t>Gross Profit</t>
  </si>
  <si>
    <t>Expense</t>
  </si>
  <si>
    <t>Administrative</t>
  </si>
  <si>
    <t>Activity Charge</t>
  </si>
  <si>
    <t>Insurance</t>
  </si>
  <si>
    <t>Management Fee</t>
  </si>
  <si>
    <t>Miscellaneous</t>
  </si>
  <si>
    <t>Professional Fees</t>
  </si>
  <si>
    <t>Supplies Office</t>
  </si>
  <si>
    <t>Telephone</t>
  </si>
  <si>
    <t>Total Administrative</t>
  </si>
  <si>
    <t>Payroll Expenses</t>
  </si>
  <si>
    <t>A&amp;G</t>
  </si>
  <si>
    <t>Housekeeping</t>
  </si>
  <si>
    <t>Maintenance</t>
  </si>
  <si>
    <t>Total Payroll Expenses</t>
  </si>
  <si>
    <t>Property Operations &amp; Maint.</t>
  </si>
  <si>
    <t>Building</t>
  </si>
  <si>
    <t>Contract Services</t>
  </si>
  <si>
    <t>Cleaning</t>
  </si>
  <si>
    <t>Pest Control</t>
  </si>
  <si>
    <t>Window Cleaning</t>
  </si>
  <si>
    <t>Total Contract Services</t>
  </si>
  <si>
    <t>Electrical &amp; Mechanical Eqpmt</t>
  </si>
  <si>
    <t>Elevators and Escalators</t>
  </si>
  <si>
    <t>Engineering Supplies</t>
  </si>
  <si>
    <t>Floor Covering</t>
  </si>
  <si>
    <t>Grounds Maintenance/Landscaping</t>
  </si>
  <si>
    <t>Landscaping</t>
  </si>
  <si>
    <t>Snow Removal</t>
  </si>
  <si>
    <t>Total Grounds Maintenance/Landscaping</t>
  </si>
  <si>
    <t>HVAC Equipment</t>
  </si>
  <si>
    <t>Life/Safety</t>
  </si>
  <si>
    <t>Lightbulbs</t>
  </si>
  <si>
    <t>Painting &amp; Decorating</t>
  </si>
  <si>
    <t>Plumbing</t>
  </si>
  <si>
    <t>Swimming Pool</t>
  </si>
  <si>
    <t>Waste Removal</t>
  </si>
  <si>
    <t>Total Property Operations &amp; Maint.</t>
  </si>
  <si>
    <t>Utilities</t>
  </si>
  <si>
    <t>Electric</t>
  </si>
  <si>
    <t>Gas</t>
  </si>
  <si>
    <t>Water</t>
  </si>
  <si>
    <t>Total Utilities</t>
  </si>
  <si>
    <t>Total Expense</t>
  </si>
  <si>
    <t>Net Ordinary Income</t>
  </si>
  <si>
    <t>Other Income/Expense</t>
  </si>
  <si>
    <t>Reserve Funding</t>
  </si>
  <si>
    <t>Reserve - Assessments</t>
  </si>
  <si>
    <t>Grantor</t>
  </si>
  <si>
    <t>Restuarant</t>
  </si>
  <si>
    <t>Total Reserve - Assessments</t>
  </si>
  <si>
    <t>Total Reserve Funding</t>
  </si>
  <si>
    <t>Other Expense</t>
  </si>
  <si>
    <t>Reserve Disbursements</t>
  </si>
  <si>
    <t>Contingency</t>
  </si>
  <si>
    <t>Total Reserve Disbursements</t>
  </si>
  <si>
    <t>Total Other Expense</t>
  </si>
  <si>
    <t>Net Other Income</t>
  </si>
  <si>
    <t>Net Income</t>
  </si>
  <si>
    <t>Beaver Creek Lodge Condominium Owners Association</t>
  </si>
  <si>
    <t>Assessment Detail 2012</t>
  </si>
  <si>
    <t>% of</t>
  </si>
  <si>
    <t>Annual</t>
  </si>
  <si>
    <t>Special</t>
  </si>
  <si>
    <t>Total</t>
  </si>
  <si>
    <t>Unit #</t>
  </si>
  <si>
    <t>Owner</t>
  </si>
  <si>
    <t>$ per Sq Ft/</t>
  </si>
  <si>
    <t>Sq Ft</t>
  </si>
  <si>
    <t>Total Project</t>
  </si>
  <si>
    <t>Dues</t>
  </si>
  <si>
    <t>Assessment</t>
  </si>
  <si>
    <t>Quarterly</t>
  </si>
  <si>
    <t>per month</t>
  </si>
  <si>
    <t>All Owners</t>
  </si>
  <si>
    <t>Hotel Owners</t>
  </si>
  <si>
    <t>Commercial Units</t>
  </si>
  <si>
    <t>1st Bank</t>
  </si>
  <si>
    <t>BCRC</t>
  </si>
  <si>
    <t>Forbes</t>
  </si>
  <si>
    <t>Gravity (Schelde)</t>
  </si>
  <si>
    <t>Law</t>
  </si>
  <si>
    <t>213-A</t>
  </si>
  <si>
    <t>Jardis (Bright Water)</t>
  </si>
  <si>
    <t>213-B</t>
  </si>
  <si>
    <t>Prudential (Slevin)</t>
  </si>
  <si>
    <t>Charlies</t>
  </si>
  <si>
    <t>216-A</t>
  </si>
  <si>
    <t>Golden Beaver (Anthony)</t>
  </si>
  <si>
    <t>216-B</t>
  </si>
  <si>
    <t>Kessler</t>
  </si>
  <si>
    <t>Jardis (Christy Sports)</t>
  </si>
  <si>
    <t>Sub-Total</t>
  </si>
  <si>
    <t>Residental Units</t>
  </si>
  <si>
    <t>Padgett</t>
  </si>
  <si>
    <t>Rosen</t>
  </si>
  <si>
    <t>McGinnis</t>
  </si>
  <si>
    <t>Rose</t>
  </si>
  <si>
    <t>Jones</t>
  </si>
  <si>
    <t>Ortenzio</t>
  </si>
  <si>
    <t>Roskill</t>
  </si>
  <si>
    <t>Capital Source</t>
  </si>
  <si>
    <t>Burrow</t>
  </si>
  <si>
    <t>Marks</t>
  </si>
  <si>
    <t>Albers</t>
  </si>
  <si>
    <t>Ljungberg</t>
  </si>
  <si>
    <t>Amiss</t>
  </si>
  <si>
    <t>Richards</t>
  </si>
  <si>
    <t>Miller</t>
  </si>
  <si>
    <t>Wexler</t>
  </si>
  <si>
    <t>Total Office, Manager, Restaurant, Commercial, Residential</t>
  </si>
  <si>
    <t>Hotel Units</t>
  </si>
  <si>
    <t>Desert Partner LLC</t>
  </si>
  <si>
    <t>BCL</t>
  </si>
  <si>
    <t>Susan Elliot LLC</t>
  </si>
  <si>
    <t>Gelb</t>
  </si>
  <si>
    <t>Riva Ridge Enterprises</t>
  </si>
  <si>
    <t>Coven/Gach</t>
  </si>
  <si>
    <t>Dowson</t>
  </si>
  <si>
    <t>Beaudin</t>
  </si>
  <si>
    <t>Entrust New Direction</t>
  </si>
  <si>
    <t>Satloff</t>
  </si>
  <si>
    <t>Dixon</t>
  </si>
  <si>
    <t>Grebe</t>
  </si>
  <si>
    <t>Filarski</t>
  </si>
  <si>
    <t>Johnston</t>
  </si>
  <si>
    <t>Power</t>
  </si>
  <si>
    <t>Koch</t>
  </si>
  <si>
    <t>Rivard</t>
  </si>
  <si>
    <t>Barry</t>
  </si>
  <si>
    <t>Broadbent</t>
  </si>
  <si>
    <t>BOP Enterprises</t>
  </si>
  <si>
    <t>Smith</t>
  </si>
  <si>
    <t>Sutter Rehn LLC</t>
  </si>
  <si>
    <t>JBC Investments LLC</t>
  </si>
  <si>
    <t>Lake House Escapes LLC</t>
  </si>
  <si>
    <t>Wojnicki</t>
  </si>
  <si>
    <t>Lucido</t>
  </si>
  <si>
    <t>Kadaba</t>
  </si>
  <si>
    <t>Maslan</t>
  </si>
  <si>
    <t>Papadopoulos</t>
  </si>
  <si>
    <t>Kohlmoos</t>
  </si>
  <si>
    <t>Hood</t>
  </si>
  <si>
    <t>Francis</t>
  </si>
  <si>
    <t>Chiapella</t>
  </si>
  <si>
    <t>Main</t>
  </si>
  <si>
    <t>Krieger</t>
  </si>
  <si>
    <t>Hoffman</t>
  </si>
  <si>
    <t>McFadden</t>
  </si>
  <si>
    <t>Finzel</t>
  </si>
  <si>
    <t>Total Condo Units</t>
  </si>
  <si>
    <t>Total Condo Units &amp; Hotel Operator</t>
  </si>
  <si>
    <t>Jan</t>
  </si>
  <si>
    <t>Feb</t>
  </si>
  <si>
    <t>Mar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</si>
  <si>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</si>
  <si>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</si>
  <si>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</si>
  <si>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</si>
  <si>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</si>
  <si>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</si>
  <si>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</si>
  <si>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</si>
  <si>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</si>
  <si>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CPI</t>
  </si>
  <si>
    <t>PY Rate</t>
  </si>
  <si>
    <t>Electric Budget</t>
  </si>
  <si>
    <t>2011</t>
  </si>
  <si>
    <t>Actuals</t>
  </si>
  <si>
    <t>Jan 11</t>
  </si>
  <si>
    <t>Feb 11</t>
  </si>
  <si>
    <t>Mar 11</t>
  </si>
  <si>
    <t>Apr 11</t>
  </si>
  <si>
    <t>May 11</t>
  </si>
  <si>
    <t>Jun 11</t>
  </si>
  <si>
    <t>Jul 11</t>
  </si>
  <si>
    <t>Aug 11</t>
  </si>
  <si>
    <t>Sep 11</t>
  </si>
  <si>
    <t>Oct 11</t>
  </si>
  <si>
    <t>Nov 11</t>
  </si>
  <si>
    <t>Dec 11</t>
  </si>
  <si>
    <t>Vending Income</t>
  </si>
  <si>
    <t>Property Operations &amp; Maint. - Other</t>
  </si>
  <si>
    <t>Reserve - Special Asssessments</t>
  </si>
  <si>
    <t>Garage Door Replacement</t>
  </si>
  <si>
    <t>Repaint Wood Fascia Building</t>
  </si>
  <si>
    <t>Safety Code Improvements</t>
  </si>
  <si>
    <t>Refinish Front Desk Area</t>
  </si>
  <si>
    <t>Roof and Gutter</t>
  </si>
  <si>
    <t>Pool / Spa</t>
  </si>
  <si>
    <t>Pool and Spa</t>
  </si>
  <si>
    <t>Plumbing Repairs in Main Boiler</t>
  </si>
  <si>
    <t>Roof Repairs/Replacement</t>
  </si>
  <si>
    <t>A/C for Fitness Center</t>
  </si>
  <si>
    <t>A</t>
  </si>
  <si>
    <t xml:space="preserve">A - </t>
  </si>
  <si>
    <t>2012 budgeted deficit will be offset by the 2011 surplus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</si>
</sst>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_(* #,##0_);_(* \(#,##0\);_(* &quot;-&quot;??_);_(@_)"/>
    <numFmt numFmtId="166" formatCode="_(&quot;$&quot;* #,##0.0000_);_(&quot;$&quot;* \(#,##0.00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6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5" xfId="0" applyNumberFormat="1" applyFont="1" applyBorder="1"/>
    <xf numFmtId="164" fontId="2" fillId="0" borderId="4" xfId="0" applyNumberFormat="1" applyFont="1" applyBorder="1"/>
    <xf numFmtId="164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3" fillId="0" borderId="0" xfId="0" applyFont="1" applyAlignment="1">
      <alignment horizontal="centerContinuous"/>
    </xf>
    <xf numFmtId="165" fontId="4" fillId="0" borderId="0" xfId="2" applyNumberFormat="1" applyAlignment="1">
      <alignment horizontal="centerContinuous"/>
    </xf>
    <xf numFmtId="10" fontId="4" fillId="0" borderId="0" xfId="3" applyNumberFormat="1" applyAlignment="1">
      <alignment horizontal="centerContinuous"/>
    </xf>
    <xf numFmtId="0" fontId="0" fillId="0" borderId="0" xfId="0" applyBorder="1" applyAlignment="1">
      <alignment horizontal="centerContinuous"/>
    </xf>
    <xf numFmtId="44" fontId="4" fillId="0" borderId="0" xfId="1" applyAlignment="1">
      <alignment horizontal="centerContinuous"/>
    </xf>
    <xf numFmtId="44" fontId="4" fillId="0" borderId="0" xfId="1" applyBorder="1" applyAlignment="1">
      <alignment horizontal="centerContinuous"/>
    </xf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horizontal="center"/>
    </xf>
    <xf numFmtId="165" fontId="4" fillId="0" borderId="0" xfId="2" applyNumberFormat="1" applyAlignment="1"/>
    <xf numFmtId="10" fontId="4" fillId="0" borderId="0" xfId="3" applyNumberFormat="1"/>
    <xf numFmtId="44" fontId="4" fillId="0" borderId="0" xfId="1"/>
    <xf numFmtId="44" fontId="4" fillId="0" borderId="0" xfId="1" applyBorder="1"/>
    <xf numFmtId="0" fontId="0" fillId="0" borderId="7" xfId="0" applyBorder="1"/>
    <xf numFmtId="0" fontId="0" fillId="0" borderId="5" xfId="0" applyBorder="1" applyAlignment="1">
      <alignment horizontal="center"/>
    </xf>
    <xf numFmtId="165" fontId="4" fillId="0" borderId="5" xfId="2" applyNumberFormat="1" applyBorder="1"/>
    <xf numFmtId="10" fontId="5" fillId="0" borderId="8" xfId="3" applyNumberFormat="1" applyFont="1" applyBorder="1" applyAlignment="1">
      <alignment horizontal="center"/>
    </xf>
    <xf numFmtId="44" fontId="5" fillId="0" borderId="9" xfId="1" applyFont="1" applyBorder="1" applyAlignment="1">
      <alignment horizontal="centerContinuous"/>
    </xf>
    <xf numFmtId="44" fontId="5" fillId="0" borderId="0" xfId="1" applyFont="1" applyBorder="1" applyAlignment="1">
      <alignment horizontal="center"/>
    </xf>
    <xf numFmtId="44" fontId="5" fillId="0" borderId="7" xfId="1" applyFont="1" applyBorder="1" applyAlignment="1">
      <alignment horizontal="center"/>
    </xf>
    <xf numFmtId="44" fontId="5" fillId="0" borderId="5" xfId="1" applyFont="1" applyBorder="1" applyAlignment="1">
      <alignment horizontal="center"/>
    </xf>
    <xf numFmtId="44" fontId="5" fillId="0" borderId="10" xfId="1" applyFont="1" applyBorder="1" applyAlignment="1">
      <alignment horizontal="center"/>
    </xf>
    <xf numFmtId="44" fontId="5" fillId="0" borderId="8" xfId="1" applyFont="1" applyBorder="1" applyAlignment="1">
      <alignment horizontal="centerContinuous"/>
    </xf>
    <xf numFmtId="0" fontId="0" fillId="0" borderId="11" xfId="0" applyBorder="1"/>
    <xf numFmtId="0" fontId="0" fillId="0" borderId="0" xfId="0" applyBorder="1" applyAlignment="1">
      <alignment horizontal="center"/>
    </xf>
    <xf numFmtId="165" fontId="4" fillId="0" borderId="0" xfId="2" applyNumberFormat="1" applyBorder="1"/>
    <xf numFmtId="10" fontId="5" fillId="0" borderId="12" xfId="3" applyNumberFormat="1" applyFont="1" applyBorder="1" applyAlignment="1">
      <alignment horizontal="center"/>
    </xf>
    <xf numFmtId="44" fontId="5" fillId="0" borderId="11" xfId="1" applyFont="1" applyBorder="1" applyAlignment="1">
      <alignment horizontal="center"/>
    </xf>
    <xf numFmtId="44" fontId="5" fillId="0" borderId="10" xfId="1" applyFont="1" applyBorder="1" applyAlignment="1">
      <alignment horizontal="centerContinuous"/>
    </xf>
    <xf numFmtId="44" fontId="5" fillId="0" borderId="12" xfId="1" applyFont="1" applyBorder="1" applyAlignment="1">
      <alignment horizontal="centerContinuous"/>
    </xf>
    <xf numFmtId="0" fontId="5" fillId="0" borderId="11" xfId="0" applyFont="1" applyBorder="1"/>
    <xf numFmtId="0" fontId="5" fillId="0" borderId="0" xfId="0" applyFont="1" applyBorder="1" applyAlignment="1">
      <alignment horizontal="center"/>
    </xf>
    <xf numFmtId="165" fontId="5" fillId="0" borderId="0" xfId="2" applyNumberFormat="1" applyFont="1" applyBorder="1" applyAlignment="1">
      <alignment horizontal="center"/>
    </xf>
    <xf numFmtId="0" fontId="5" fillId="0" borderId="0" xfId="0" applyFont="1" applyBorder="1"/>
    <xf numFmtId="44" fontId="5" fillId="0" borderId="0" xfId="1" applyFont="1" applyBorder="1" applyAlignment="1">
      <alignment horizontal="center" wrapText="1"/>
    </xf>
    <xf numFmtId="44" fontId="5" fillId="0" borderId="10" xfId="1" applyFont="1" applyBorder="1" applyAlignment="1">
      <alignment horizontal="center" wrapText="1"/>
    </xf>
    <xf numFmtId="44" fontId="5" fillId="0" borderId="12" xfId="1" applyFont="1" applyBorder="1" applyAlignment="1">
      <alignment horizontal="center"/>
    </xf>
    <xf numFmtId="0" fontId="0" fillId="0" borderId="13" xfId="0" applyBorder="1"/>
    <xf numFmtId="0" fontId="0" fillId="0" borderId="3" xfId="0" applyBorder="1" applyAlignment="1">
      <alignment horizontal="center"/>
    </xf>
    <xf numFmtId="44" fontId="5" fillId="0" borderId="3" xfId="1" applyFont="1" applyBorder="1" applyAlignment="1">
      <alignment horizontal="center"/>
    </xf>
    <xf numFmtId="165" fontId="4" fillId="0" borderId="3" xfId="2" applyNumberFormat="1" applyBorder="1"/>
    <xf numFmtId="10" fontId="4" fillId="0" borderId="14" xfId="3" applyNumberFormat="1" applyBorder="1"/>
    <xf numFmtId="44" fontId="4" fillId="0" borderId="15" xfId="1" applyBorder="1"/>
    <xf numFmtId="44" fontId="4" fillId="0" borderId="13" xfId="1" applyBorder="1"/>
    <xf numFmtId="44" fontId="4" fillId="0" borderId="3" xfId="1" applyBorder="1"/>
    <xf numFmtId="44" fontId="4" fillId="0" borderId="10" xfId="1" applyBorder="1"/>
    <xf numFmtId="44" fontId="4" fillId="0" borderId="14" xfId="1" applyBorder="1"/>
    <xf numFmtId="44" fontId="5" fillId="0" borderId="15" xfId="1" applyFont="1" applyBorder="1" applyAlignment="1">
      <alignment horizontal="center"/>
    </xf>
    <xf numFmtId="0" fontId="5" fillId="0" borderId="7" xfId="0" applyFont="1" applyBorder="1"/>
    <xf numFmtId="10" fontId="4" fillId="0" borderId="8" xfId="3" applyNumberFormat="1" applyBorder="1"/>
    <xf numFmtId="44" fontId="4" fillId="0" borderId="11" xfId="1" applyBorder="1"/>
    <xf numFmtId="44" fontId="4" fillId="0" borderId="12" xfId="1" applyBorder="1"/>
    <xf numFmtId="10" fontId="4" fillId="0" borderId="12" xfId="3" applyNumberFormat="1" applyBorder="1"/>
    <xf numFmtId="44" fontId="4" fillId="0" borderId="10" xfId="1" applyBorder="1" applyAlignment="1">
      <alignment horizontal="center"/>
    </xf>
    <xf numFmtId="44" fontId="4" fillId="0" borderId="11" xfId="1" applyBorder="1" applyAlignment="1">
      <alignment horizontal="center"/>
    </xf>
    <xf numFmtId="44" fontId="4" fillId="0" borderId="0" xfId="1" applyBorder="1" applyAlignment="1">
      <alignment horizontal="center"/>
    </xf>
    <xf numFmtId="44" fontId="4" fillId="0" borderId="12" xfId="1" applyBorder="1" applyAlignment="1">
      <alignment horizontal="center"/>
    </xf>
    <xf numFmtId="44" fontId="0" fillId="0" borderId="0" xfId="1" applyFont="1" applyBorder="1"/>
    <xf numFmtId="44" fontId="0" fillId="0" borderId="12" xfId="1" applyFont="1" applyBorder="1"/>
    <xf numFmtId="0" fontId="5" fillId="0" borderId="16" xfId="0" applyFont="1" applyBorder="1"/>
    <xf numFmtId="0" fontId="5" fillId="0" borderId="17" xfId="0" applyFont="1" applyBorder="1" applyAlignment="1">
      <alignment horizontal="center"/>
    </xf>
    <xf numFmtId="165" fontId="5" fillId="0" borderId="17" xfId="2" applyNumberFormat="1" applyFont="1" applyBorder="1"/>
    <xf numFmtId="10" fontId="5" fillId="0" borderId="18" xfId="3" applyNumberFormat="1" applyFont="1" applyBorder="1"/>
    <xf numFmtId="44" fontId="5" fillId="0" borderId="19" xfId="1" applyFont="1" applyBorder="1" applyAlignment="1">
      <alignment horizontal="center"/>
    </xf>
    <xf numFmtId="44" fontId="5" fillId="0" borderId="0" xfId="1" applyFont="1" applyBorder="1"/>
    <xf numFmtId="44" fontId="5" fillId="0" borderId="16" xfId="1" applyFont="1" applyBorder="1" applyAlignment="1">
      <alignment horizontal="center"/>
    </xf>
    <xf numFmtId="44" fontId="5" fillId="0" borderId="17" xfId="1" applyFont="1" applyBorder="1" applyAlignment="1">
      <alignment horizontal="center"/>
    </xf>
    <xf numFmtId="44" fontId="5" fillId="0" borderId="10" xfId="1" applyFont="1" applyBorder="1"/>
    <xf numFmtId="44" fontId="5" fillId="0" borderId="18" xfId="1" applyFont="1" applyBorder="1" applyAlignment="1">
      <alignment horizontal="center"/>
    </xf>
    <xf numFmtId="44" fontId="0" fillId="0" borderId="11" xfId="1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44" fontId="5" fillId="0" borderId="17" xfId="1" applyFont="1" applyBorder="1"/>
    <xf numFmtId="44" fontId="5" fillId="0" borderId="18" xfId="1" applyFont="1" applyBorder="1"/>
    <xf numFmtId="0" fontId="0" fillId="0" borderId="11" xfId="0" applyBorder="1" applyAlignment="1">
      <alignment horizontal="center"/>
    </xf>
    <xf numFmtId="43" fontId="0" fillId="0" borderId="0" xfId="0" applyNumberFormat="1" applyBorder="1"/>
    <xf numFmtId="10" fontId="5" fillId="0" borderId="0" xfId="0" applyNumberFormat="1" applyFont="1" applyBorder="1"/>
    <xf numFmtId="0" fontId="0" fillId="0" borderId="20" xfId="0" applyBorder="1"/>
    <xf numFmtId="0" fontId="0" fillId="0" borderId="21" xfId="0" applyBorder="1" applyAlignment="1">
      <alignment horizontal="center"/>
    </xf>
    <xf numFmtId="165" fontId="4" fillId="0" borderId="21" xfId="2" applyNumberFormat="1" applyBorder="1"/>
    <xf numFmtId="10" fontId="4" fillId="0" borderId="22" xfId="3" applyNumberFormat="1" applyBorder="1"/>
    <xf numFmtId="44" fontId="4" fillId="0" borderId="23" xfId="1" applyBorder="1" applyAlignment="1">
      <alignment horizontal="center"/>
    </xf>
    <xf numFmtId="44" fontId="4" fillId="0" borderId="20" xfId="1" applyBorder="1" applyAlignment="1">
      <alignment horizontal="center"/>
    </xf>
    <xf numFmtId="44" fontId="0" fillId="0" borderId="21" xfId="1" applyFont="1" applyBorder="1"/>
    <xf numFmtId="44" fontId="0" fillId="0" borderId="22" xfId="1" applyFont="1" applyBorder="1"/>
    <xf numFmtId="0" fontId="5" fillId="0" borderId="13" xfId="0" applyFont="1" applyBorder="1"/>
    <xf numFmtId="0" fontId="5" fillId="0" borderId="3" xfId="0" applyFont="1" applyBorder="1" applyAlignment="1">
      <alignment horizontal="center"/>
    </xf>
    <xf numFmtId="165" fontId="5" fillId="0" borderId="3" xfId="2" applyNumberFormat="1" applyFont="1" applyBorder="1"/>
    <xf numFmtId="10" fontId="5" fillId="0" borderId="14" xfId="3" applyNumberFormat="1" applyFont="1" applyBorder="1"/>
    <xf numFmtId="44" fontId="5" fillId="0" borderId="13" xfId="1" applyFont="1" applyBorder="1" applyAlignment="1">
      <alignment horizontal="center"/>
    </xf>
    <xf numFmtId="44" fontId="5" fillId="0" borderId="14" xfId="1" applyFont="1" applyBorder="1" applyAlignment="1">
      <alignment horizontal="center"/>
    </xf>
    <xf numFmtId="44" fontId="4" fillId="0" borderId="9" xfId="1" applyBorder="1"/>
    <xf numFmtId="44" fontId="4" fillId="0" borderId="7" xfId="1" applyBorder="1"/>
    <xf numFmtId="44" fontId="4" fillId="0" borderId="5" xfId="1" applyBorder="1"/>
    <xf numFmtId="44" fontId="4" fillId="0" borderId="8" xfId="1" applyBorder="1"/>
    <xf numFmtId="0" fontId="5" fillId="0" borderId="24" xfId="0" applyFont="1" applyBorder="1"/>
    <xf numFmtId="0" fontId="5" fillId="0" borderId="25" xfId="0" applyFont="1" applyBorder="1" applyAlignment="1">
      <alignment horizontal="center"/>
    </xf>
    <xf numFmtId="165" fontId="5" fillId="0" borderId="25" xfId="2" applyNumberFormat="1" applyFont="1" applyBorder="1"/>
    <xf numFmtId="10" fontId="5" fillId="0" borderId="26" xfId="3" applyNumberFormat="1" applyFont="1" applyBorder="1"/>
    <xf numFmtId="44" fontId="5" fillId="0" borderId="27" xfId="1" applyFont="1" applyBorder="1" applyAlignment="1">
      <alignment horizontal="center"/>
    </xf>
    <xf numFmtId="44" fontId="4" fillId="0" borderId="24" xfId="1" applyBorder="1"/>
    <xf numFmtId="44" fontId="4" fillId="0" borderId="27" xfId="1" applyBorder="1"/>
    <xf numFmtId="44" fontId="4" fillId="0" borderId="26" xfId="1" applyBorder="1"/>
    <xf numFmtId="0" fontId="0" fillId="0" borderId="28" xfId="0" applyBorder="1"/>
    <xf numFmtId="0" fontId="0" fillId="0" borderId="1" xfId="0" applyBorder="1" applyAlignment="1">
      <alignment horizontal="center"/>
    </xf>
    <xf numFmtId="165" fontId="4" fillId="0" borderId="1" xfId="2" applyNumberFormat="1" applyBorder="1"/>
    <xf numFmtId="10" fontId="4" fillId="0" borderId="29" xfId="3" applyNumberFormat="1" applyBorder="1"/>
    <xf numFmtId="44" fontId="4" fillId="0" borderId="10" xfId="1" applyFont="1" applyBorder="1"/>
    <xf numFmtId="44" fontId="5" fillId="0" borderId="30" xfId="1" applyFont="1" applyBorder="1"/>
    <xf numFmtId="44" fontId="5" fillId="0" borderId="31" xfId="1" applyFont="1" applyBorder="1" applyAlignment="1">
      <alignment horizontal="center"/>
    </xf>
    <xf numFmtId="44" fontId="5" fillId="0" borderId="32" xfId="1" applyFont="1" applyBorder="1" applyAlignment="1">
      <alignment horizontal="center"/>
    </xf>
    <xf numFmtId="44" fontId="5" fillId="0" borderId="30" xfId="1" applyFont="1" applyBorder="1" applyAlignment="1">
      <alignment horizontal="center"/>
    </xf>
    <xf numFmtId="44" fontId="5" fillId="0" borderId="33" xfId="1" applyFont="1" applyBorder="1" applyAlignment="1">
      <alignment horizontal="center"/>
    </xf>
    <xf numFmtId="165" fontId="4" fillId="0" borderId="0" xfId="2" applyNumberFormat="1"/>
    <xf numFmtId="44" fontId="4" fillId="0" borderId="0" xfId="1" applyFont="1"/>
    <xf numFmtId="44" fontId="0" fillId="0" borderId="0" xfId="0" applyNumberFormat="1" applyBorder="1"/>
    <xf numFmtId="166" fontId="4" fillId="0" borderId="0" xfId="1" applyNumberFormat="1"/>
    <xf numFmtId="39" fontId="2" fillId="0" borderId="0" xfId="0" applyNumberFormat="1" applyFont="1"/>
    <xf numFmtId="39" fontId="2" fillId="0" borderId="0" xfId="0" applyNumberFormat="1" applyFont="1" applyBorder="1"/>
    <xf numFmtId="0" fontId="0" fillId="0" borderId="0" xfId="0" applyFill="1" applyBorder="1"/>
    <xf numFmtId="10" fontId="0" fillId="0" borderId="0" xfId="0" applyNumberFormat="1" applyBorder="1"/>
    <xf numFmtId="44" fontId="5" fillId="0" borderId="11" xfId="1" applyFont="1" applyFill="1" applyBorder="1" applyAlignment="1">
      <alignment horizontal="center"/>
    </xf>
    <xf numFmtId="9" fontId="0" fillId="0" borderId="0" xfId="0" applyNumberFormat="1" applyBorder="1"/>
    <xf numFmtId="9" fontId="0" fillId="0" borderId="0" xfId="4" applyFont="1" applyBorder="1"/>
    <xf numFmtId="0" fontId="0" fillId="2" borderId="0" xfId="0" applyFill="1" applyBorder="1"/>
    <xf numFmtId="39" fontId="2" fillId="3" borderId="0" xfId="0" applyNumberFormat="1" applyFont="1" applyFill="1"/>
    <xf numFmtId="39" fontId="2" fillId="2" borderId="0" xfId="0" applyNumberFormat="1" applyFont="1" applyFill="1"/>
    <xf numFmtId="39" fontId="2" fillId="2" borderId="0" xfId="0" applyNumberFormat="1" applyFont="1" applyFill="1" applyBorder="1"/>
    <xf numFmtId="49" fontId="1" fillId="0" borderId="34" xfId="0" applyNumberFormat="1" applyFont="1" applyBorder="1" applyAlignment="1">
      <alignment horizontal="center"/>
    </xf>
    <xf numFmtId="39" fontId="2" fillId="0" borderId="3" xfId="0" applyNumberFormat="1" applyFont="1" applyBorder="1"/>
    <xf numFmtId="39" fontId="2" fillId="2" borderId="3" xfId="0" applyNumberFormat="1" applyFont="1" applyFill="1" applyBorder="1"/>
    <xf numFmtId="39" fontId="2" fillId="0" borderId="5" xfId="0" applyNumberFormat="1" applyFont="1" applyBorder="1"/>
    <xf numFmtId="39" fontId="2" fillId="0" borderId="4" xfId="0" applyNumberFormat="1" applyFont="1" applyBorder="1"/>
    <xf numFmtId="39" fontId="2" fillId="4" borderId="0" xfId="0" applyNumberFormat="1" applyFont="1" applyFill="1"/>
    <xf numFmtId="39" fontId="1" fillId="0" borderId="6" xfId="0" applyNumberFormat="1" applyFont="1" applyBorder="1"/>
    <xf numFmtId="14" fontId="0" fillId="0" borderId="0" xfId="0" applyNumberFormat="1"/>
    <xf numFmtId="44" fontId="4" fillId="0" borderId="25" xfId="1" applyFont="1" applyFill="1" applyBorder="1" applyAlignment="1">
      <alignment horizontal="center"/>
    </xf>
    <xf numFmtId="166" fontId="4" fillId="0" borderId="0" xfId="1" applyNumberFormat="1" applyBorder="1" applyAlignment="1">
      <alignment horizontal="right"/>
    </xf>
    <xf numFmtId="166" fontId="3" fillId="0" borderId="0" xfId="1" applyNumberFormat="1" applyFont="1" applyAlignment="1">
      <alignment horizontal="centerContinuous"/>
    </xf>
    <xf numFmtId="166" fontId="3" fillId="0" borderId="0" xfId="1" applyNumberFormat="1" applyFont="1" applyAlignment="1">
      <alignment horizontal="right"/>
    </xf>
    <xf numFmtId="166" fontId="4" fillId="0" borderId="5" xfId="1" applyNumberFormat="1" applyBorder="1" applyAlignment="1">
      <alignment horizontal="right"/>
    </xf>
    <xf numFmtId="166" fontId="5" fillId="0" borderId="0" xfId="1" applyNumberFormat="1" applyFont="1" applyBorder="1" applyAlignment="1">
      <alignment horizontal="center"/>
    </xf>
    <xf numFmtId="166" fontId="5" fillId="0" borderId="3" xfId="1" applyNumberFormat="1" applyFont="1" applyBorder="1" applyAlignment="1">
      <alignment horizontal="center"/>
    </xf>
    <xf numFmtId="166" fontId="5" fillId="0" borderId="17" xfId="1" applyNumberFormat="1" applyFont="1" applyBorder="1" applyAlignment="1">
      <alignment horizontal="right"/>
    </xf>
    <xf numFmtId="166" fontId="4" fillId="0" borderId="21" xfId="1" applyNumberFormat="1" applyBorder="1" applyAlignment="1">
      <alignment horizontal="right"/>
    </xf>
    <xf numFmtId="166" fontId="5" fillId="0" borderId="3" xfId="1" applyNumberFormat="1" applyFont="1" applyBorder="1" applyAlignment="1">
      <alignment horizontal="right"/>
    </xf>
    <xf numFmtId="166" fontId="5" fillId="0" borderId="25" xfId="1" applyNumberFormat="1" applyFont="1" applyBorder="1" applyAlignment="1">
      <alignment horizontal="right"/>
    </xf>
    <xf numFmtId="166" fontId="4" fillId="0" borderId="1" xfId="1" applyNumberFormat="1" applyBorder="1" applyAlignment="1">
      <alignment horizontal="right"/>
    </xf>
    <xf numFmtId="166" fontId="4" fillId="0" borderId="0" xfId="1" applyNumberFormat="1" applyAlignment="1">
      <alignment horizontal="right"/>
    </xf>
  </cellXfs>
  <cellStyles count="5">
    <cellStyle name="Comma 2" xfId="2"/>
    <cellStyle name="Currency 2" xfId="1"/>
    <cellStyle name="Normal" xfId="0" builtinId="0"/>
    <cellStyle name="Percent" xfId="4" builtinId="5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5"/>
  <sheetViews>
    <sheetView zoomScaleNormal="100" workbookViewId="0">
      <pane xSplit="7" ySplit="2" topLeftCell="H3" activePane="bottomRight" state="frozenSplit"/>
      <selection pane="topRight" activeCell="H1" sqref="H1"/>
      <selection pane="bottomLeft" activeCell="A3" sqref="A3"/>
      <selection pane="bottomRight" activeCell="AL20" sqref="AL20:AL21"/>
    </sheetView>
  </sheetViews>
  <sheetFormatPr defaultRowHeight="15" x14ac:dyDescent="0.25"/>
  <cols>
    <col min="1" max="6" width="3" style="17" customWidth="1"/>
    <col min="7" max="7" width="31.5703125" style="17" customWidth="1"/>
    <col min="8" max="8" width="8.42578125" style="18" bestFit="1" customWidth="1"/>
    <col min="9" max="9" width="2.28515625" style="18" customWidth="1"/>
    <col min="10" max="10" width="7.85546875" style="18" bestFit="1" customWidth="1"/>
    <col min="11" max="11" width="2.28515625" style="18" customWidth="1"/>
    <col min="12" max="12" width="7.85546875" style="18" bestFit="1" customWidth="1"/>
    <col min="13" max="13" width="2.28515625" style="18" customWidth="1"/>
    <col min="14" max="14" width="7.85546875" style="18" bestFit="1" customWidth="1"/>
    <col min="15" max="15" width="2.28515625" style="18" customWidth="1"/>
    <col min="16" max="16" width="8.42578125" style="18" bestFit="1" customWidth="1"/>
    <col min="17" max="17" width="2.28515625" style="18" customWidth="1"/>
    <col min="18" max="18" width="8.42578125" style="18" bestFit="1" customWidth="1"/>
    <col min="19" max="19" width="2.28515625" style="18" customWidth="1"/>
    <col min="20" max="20" width="8.42578125" style="18" bestFit="1" customWidth="1"/>
    <col min="21" max="21" width="2.28515625" style="18" customWidth="1"/>
    <col min="22" max="22" width="8.42578125" style="18" bestFit="1" customWidth="1"/>
    <col min="23" max="23" width="2.28515625" style="18" customWidth="1"/>
    <col min="24" max="24" width="7.85546875" style="18" bestFit="1" customWidth="1"/>
    <col min="25" max="25" width="2.28515625" style="18" customWidth="1"/>
    <col min="26" max="26" width="7.85546875" style="18" bestFit="1" customWidth="1"/>
    <col min="27" max="27" width="2.28515625" style="18" customWidth="1"/>
    <col min="28" max="28" width="8.42578125" style="18" bestFit="1" customWidth="1"/>
    <col min="29" max="29" width="2.28515625" style="18" customWidth="1"/>
    <col min="30" max="30" width="7.85546875" style="18" bestFit="1" customWidth="1"/>
    <col min="31" max="31" width="2.28515625" style="18" customWidth="1"/>
    <col min="32" max="32" width="10.140625" style="18" bestFit="1" customWidth="1"/>
    <col min="33" max="33" width="2.7109375" customWidth="1"/>
    <col min="34" max="34" width="5.42578125" customWidth="1"/>
    <col min="35" max="35" width="10.140625" style="18" hidden="1" customWidth="1"/>
    <col min="36" max="36" width="0" hidden="1" customWidth="1"/>
  </cols>
  <sheetData>
    <row r="1" spans="1:35" ht="15.75" thickBot="1" x14ac:dyDescent="0.3">
      <c r="A1" s="2"/>
      <c r="B1" s="2"/>
      <c r="C1" s="2"/>
      <c r="D1" s="2"/>
      <c r="E1" s="2"/>
      <c r="F1" s="2"/>
      <c r="G1" s="2"/>
      <c r="H1" s="3"/>
      <c r="I1" s="1"/>
      <c r="J1" s="3"/>
      <c r="K1" s="1"/>
      <c r="L1" s="3"/>
      <c r="M1" s="1"/>
      <c r="N1" s="3"/>
      <c r="O1" s="1"/>
      <c r="P1" s="3"/>
      <c r="Q1" s="1"/>
      <c r="R1" s="3"/>
      <c r="S1" s="1"/>
      <c r="T1" s="3"/>
      <c r="U1" s="1"/>
      <c r="V1" s="3"/>
      <c r="W1" s="1"/>
      <c r="X1" s="3"/>
      <c r="Y1" s="1"/>
      <c r="Z1" s="3"/>
      <c r="AA1" s="1"/>
      <c r="AB1" s="3"/>
      <c r="AC1" s="1"/>
      <c r="AD1" s="3"/>
      <c r="AE1" s="1"/>
      <c r="AF1" s="4" t="s">
        <v>0</v>
      </c>
      <c r="AI1" s="4" t="s">
        <v>203</v>
      </c>
    </row>
    <row r="2" spans="1:35" s="16" customFormat="1" ht="16.5" thickTop="1" thickBot="1" x14ac:dyDescent="0.3">
      <c r="A2" s="13"/>
      <c r="B2" s="13"/>
      <c r="C2" s="13"/>
      <c r="D2" s="13"/>
      <c r="E2" s="13"/>
      <c r="F2" s="13"/>
      <c r="G2" s="13"/>
      <c r="H2" s="14" t="s">
        <v>1</v>
      </c>
      <c r="I2" s="15"/>
      <c r="J2" s="14" t="s">
        <v>2</v>
      </c>
      <c r="K2" s="15"/>
      <c r="L2" s="14" t="s">
        <v>3</v>
      </c>
      <c r="M2" s="15"/>
      <c r="N2" s="14" t="s">
        <v>4</v>
      </c>
      <c r="O2" s="15"/>
      <c r="P2" s="14" t="s">
        <v>5</v>
      </c>
      <c r="Q2" s="15"/>
      <c r="R2" s="14" t="s">
        <v>6</v>
      </c>
      <c r="S2" s="15"/>
      <c r="T2" s="14" t="s">
        <v>7</v>
      </c>
      <c r="U2" s="15"/>
      <c r="V2" s="14" t="s">
        <v>8</v>
      </c>
      <c r="W2" s="15"/>
      <c r="X2" s="14" t="s">
        <v>9</v>
      </c>
      <c r="Y2" s="15"/>
      <c r="Z2" s="14" t="s">
        <v>10</v>
      </c>
      <c r="AA2" s="15"/>
      <c r="AB2" s="14" t="s">
        <v>11</v>
      </c>
      <c r="AC2" s="15"/>
      <c r="AD2" s="14" t="s">
        <v>12</v>
      </c>
      <c r="AE2" s="15"/>
      <c r="AF2" s="14" t="s">
        <v>13</v>
      </c>
      <c r="AI2" s="14" t="s">
        <v>204</v>
      </c>
    </row>
    <row r="3" spans="1:35" ht="15.75" thickTop="1" x14ac:dyDescent="0.25">
      <c r="A3" s="2"/>
      <c r="B3" s="2" t="s">
        <v>14</v>
      </c>
      <c r="C3" s="2"/>
      <c r="D3" s="2"/>
      <c r="E3" s="2"/>
      <c r="F3" s="2"/>
      <c r="G3" s="2"/>
      <c r="H3" s="5"/>
      <c r="I3" s="6"/>
      <c r="J3" s="5"/>
      <c r="K3" s="6"/>
      <c r="L3" s="5"/>
      <c r="M3" s="6"/>
      <c r="N3" s="5"/>
      <c r="O3" s="6"/>
      <c r="P3" s="5"/>
      <c r="Q3" s="6"/>
      <c r="R3" s="5"/>
      <c r="S3" s="6"/>
      <c r="T3" s="5"/>
      <c r="U3" s="6"/>
      <c r="V3" s="5"/>
      <c r="W3" s="6"/>
      <c r="X3" s="5"/>
      <c r="Y3" s="6"/>
      <c r="Z3" s="5"/>
      <c r="AA3" s="6"/>
      <c r="AB3" s="5"/>
      <c r="AC3" s="6"/>
      <c r="AD3" s="5"/>
      <c r="AE3" s="6"/>
      <c r="AF3" s="5"/>
      <c r="AI3" s="5"/>
    </row>
    <row r="4" spans="1:35" x14ac:dyDescent="0.25">
      <c r="A4" s="2"/>
      <c r="B4" s="2"/>
      <c r="C4" s="2"/>
      <c r="D4" s="2" t="s">
        <v>15</v>
      </c>
      <c r="E4" s="2"/>
      <c r="F4" s="2"/>
      <c r="G4" s="2"/>
      <c r="H4" s="5"/>
      <c r="I4" s="6"/>
      <c r="J4" s="5"/>
      <c r="K4" s="6"/>
      <c r="L4" s="5"/>
      <c r="M4" s="6"/>
      <c r="N4" s="5"/>
      <c r="O4" s="6"/>
      <c r="P4" s="5"/>
      <c r="Q4" s="6"/>
      <c r="R4" s="5"/>
      <c r="S4" s="6"/>
      <c r="T4" s="5"/>
      <c r="U4" s="6"/>
      <c r="V4" s="5"/>
      <c r="W4" s="6"/>
      <c r="X4" s="5"/>
      <c r="Y4" s="6"/>
      <c r="Z4" s="5"/>
      <c r="AA4" s="6"/>
      <c r="AB4" s="5"/>
      <c r="AC4" s="6"/>
      <c r="AD4" s="5"/>
      <c r="AE4" s="6"/>
      <c r="AF4" s="5"/>
      <c r="AI4" s="5"/>
    </row>
    <row r="5" spans="1:35" x14ac:dyDescent="0.25">
      <c r="A5" s="2"/>
      <c r="B5" s="2"/>
      <c r="C5" s="2"/>
      <c r="D5" s="2"/>
      <c r="E5" s="2" t="s">
        <v>15</v>
      </c>
      <c r="F5" s="2"/>
      <c r="G5" s="2"/>
      <c r="H5" s="5"/>
      <c r="I5" s="6"/>
      <c r="J5" s="5"/>
      <c r="K5" s="6"/>
      <c r="L5" s="5"/>
      <c r="M5" s="6"/>
      <c r="N5" s="5"/>
      <c r="O5" s="6"/>
      <c r="P5" s="5"/>
      <c r="Q5" s="6"/>
      <c r="R5" s="5"/>
      <c r="S5" s="6"/>
      <c r="T5" s="5"/>
      <c r="U5" s="6"/>
      <c r="V5" s="5"/>
      <c r="W5" s="6"/>
      <c r="X5" s="5"/>
      <c r="Y5" s="6"/>
      <c r="Z5" s="5"/>
      <c r="AA5" s="6"/>
      <c r="AB5" s="5"/>
      <c r="AC5" s="6"/>
      <c r="AD5" s="5"/>
      <c r="AE5" s="6"/>
      <c r="AF5" s="5"/>
      <c r="AI5" s="5"/>
    </row>
    <row r="6" spans="1:35" x14ac:dyDescent="0.25">
      <c r="A6" s="2"/>
      <c r="B6" s="2"/>
      <c r="C6" s="2"/>
      <c r="D6" s="2"/>
      <c r="E6" s="2"/>
      <c r="F6" s="2" t="s">
        <v>16</v>
      </c>
      <c r="G6" s="2"/>
      <c r="H6" s="5"/>
      <c r="I6" s="6"/>
      <c r="J6" s="5"/>
      <c r="K6" s="6"/>
      <c r="L6" s="5"/>
      <c r="M6" s="6"/>
      <c r="N6" s="5"/>
      <c r="O6" s="6"/>
      <c r="P6" s="5"/>
      <c r="Q6" s="6"/>
      <c r="R6" s="5"/>
      <c r="S6" s="6"/>
      <c r="T6" s="5"/>
      <c r="U6" s="6"/>
      <c r="V6" s="5"/>
      <c r="W6" s="6"/>
      <c r="X6" s="5"/>
      <c r="Y6" s="6"/>
      <c r="Z6" s="5"/>
      <c r="AA6" s="6"/>
      <c r="AB6" s="5"/>
      <c r="AC6" s="6"/>
      <c r="AD6" s="5"/>
      <c r="AE6" s="6"/>
      <c r="AF6" s="5"/>
      <c r="AI6" s="5"/>
    </row>
    <row r="7" spans="1:35" x14ac:dyDescent="0.25">
      <c r="A7" s="2"/>
      <c r="B7" s="2"/>
      <c r="C7" s="2"/>
      <c r="D7" s="2"/>
      <c r="E7" s="2"/>
      <c r="F7" s="2"/>
      <c r="G7" s="2" t="s">
        <v>17</v>
      </c>
      <c r="H7" s="5">
        <f>ROUND(+$AF7/12,0)</f>
        <v>32</v>
      </c>
      <c r="I7" s="6"/>
      <c r="J7" s="5">
        <f>ROUND(+$AF7/12,0)</f>
        <v>32</v>
      </c>
      <c r="K7" s="6"/>
      <c r="L7" s="5">
        <f>ROUND(+$AF7/12,0)</f>
        <v>32</v>
      </c>
      <c r="M7" s="6"/>
      <c r="N7" s="5">
        <f>ROUND(+$AF7/12,0)</f>
        <v>32</v>
      </c>
      <c r="O7" s="6"/>
      <c r="P7" s="5">
        <f>ROUND(+$AF7/12,0)</f>
        <v>32</v>
      </c>
      <c r="Q7" s="6"/>
      <c r="R7" s="5">
        <f>ROUND(+$AF7/12,0)</f>
        <v>32</v>
      </c>
      <c r="S7" s="6"/>
      <c r="T7" s="5">
        <f>ROUND(+$AF7/12,0)</f>
        <v>32</v>
      </c>
      <c r="U7" s="6"/>
      <c r="V7" s="5">
        <f>ROUND(+$AF7/12,0)</f>
        <v>32</v>
      </c>
      <c r="W7" s="6"/>
      <c r="X7" s="5">
        <f>ROUND(+$AF7/12,0)</f>
        <v>32</v>
      </c>
      <c r="Y7" s="6"/>
      <c r="Z7" s="5">
        <f>ROUND(+$AF7/12,0)</f>
        <v>32</v>
      </c>
      <c r="AA7" s="6"/>
      <c r="AB7" s="5">
        <f>ROUND(+$AF7/12,0)</f>
        <v>32</v>
      </c>
      <c r="AC7" s="6"/>
      <c r="AD7" s="5">
        <f>ROUND(+$AF7/12,0)</f>
        <v>32</v>
      </c>
      <c r="AE7" s="6"/>
      <c r="AF7" s="5">
        <f>ROUND(+Assessments!J45,0)</f>
        <v>382</v>
      </c>
      <c r="AI7" s="5">
        <v>458.32</v>
      </c>
    </row>
    <row r="8" spans="1:35" x14ac:dyDescent="0.25">
      <c r="A8" s="2"/>
      <c r="B8" s="2"/>
      <c r="C8" s="2"/>
      <c r="D8" s="2"/>
      <c r="E8" s="2"/>
      <c r="F8" s="2"/>
      <c r="G8" s="2" t="s">
        <v>18</v>
      </c>
      <c r="H8" s="5">
        <f>ROUND(+$AF8/12,0)</f>
        <v>530</v>
      </c>
      <c r="I8" s="6"/>
      <c r="J8" s="5">
        <f>ROUND(+$AF8/12,0)</f>
        <v>530</v>
      </c>
      <c r="K8" s="6"/>
      <c r="L8" s="5">
        <f>ROUND(+$AF8/12,0)</f>
        <v>530</v>
      </c>
      <c r="M8" s="6"/>
      <c r="N8" s="5">
        <f>ROUND(+$AF8/12,0)</f>
        <v>530</v>
      </c>
      <c r="O8" s="6"/>
      <c r="P8" s="5">
        <f>ROUND(+$AF8/12,0)</f>
        <v>530</v>
      </c>
      <c r="Q8" s="6"/>
      <c r="R8" s="5">
        <f>ROUND(+$AF8/12,0)</f>
        <v>530</v>
      </c>
      <c r="S8" s="6"/>
      <c r="T8" s="5">
        <f>ROUND(+$AF8/12,0)</f>
        <v>530</v>
      </c>
      <c r="U8" s="6"/>
      <c r="V8" s="5">
        <f>ROUND(+$AF8/12,0)</f>
        <v>530</v>
      </c>
      <c r="W8" s="6"/>
      <c r="X8" s="5">
        <f>ROUND(+$AF8/12,0)</f>
        <v>530</v>
      </c>
      <c r="Y8" s="6"/>
      <c r="Z8" s="5">
        <f>ROUND(+$AF8/12,0)</f>
        <v>530</v>
      </c>
      <c r="AA8" s="6"/>
      <c r="AB8" s="5">
        <f>ROUND(+$AF8/12,0)</f>
        <v>530</v>
      </c>
      <c r="AC8" s="6"/>
      <c r="AD8" s="5">
        <f>ROUND(+$AF8/12,0)</f>
        <v>530</v>
      </c>
      <c r="AE8" s="6"/>
      <c r="AF8" s="5">
        <f>ROUND(+Assessments!J132,0)</f>
        <v>6362</v>
      </c>
      <c r="AI8" s="5">
        <v>7645.08</v>
      </c>
    </row>
    <row r="9" spans="1:35" ht="15.75" thickBot="1" x14ac:dyDescent="0.3">
      <c r="A9" s="2"/>
      <c r="B9" s="2"/>
      <c r="C9" s="2"/>
      <c r="D9" s="2"/>
      <c r="E9" s="2"/>
      <c r="F9" s="2"/>
      <c r="G9" s="2" t="s">
        <v>19</v>
      </c>
      <c r="H9" s="7">
        <f>ROUND(+$AF9/12,0)</f>
        <v>2591</v>
      </c>
      <c r="I9" s="6"/>
      <c r="J9" s="7">
        <f>ROUND(+$AF9/12,0)</f>
        <v>2591</v>
      </c>
      <c r="K9" s="6"/>
      <c r="L9" s="7">
        <f>ROUND(+$AF9/12,0)</f>
        <v>2591</v>
      </c>
      <c r="M9" s="6"/>
      <c r="N9" s="7">
        <f>ROUND(+$AF9/12,0)</f>
        <v>2591</v>
      </c>
      <c r="O9" s="6"/>
      <c r="P9" s="7">
        <f>ROUND(+$AF9/12,0)</f>
        <v>2591</v>
      </c>
      <c r="Q9" s="6"/>
      <c r="R9" s="7">
        <f>ROUND(+$AF9/12,0)</f>
        <v>2591</v>
      </c>
      <c r="S9" s="6"/>
      <c r="T9" s="7">
        <f>ROUND(+$AF9/12,0)</f>
        <v>2591</v>
      </c>
      <c r="U9" s="6"/>
      <c r="V9" s="7">
        <f>ROUND(+$AF9/12,0)</f>
        <v>2591</v>
      </c>
      <c r="W9" s="6"/>
      <c r="X9" s="7">
        <f>ROUND(+$AF9/12,0)</f>
        <v>2591</v>
      </c>
      <c r="Y9" s="6"/>
      <c r="Z9" s="7">
        <f>ROUND(+$AF9/12,0)</f>
        <v>2591</v>
      </c>
      <c r="AA9" s="6"/>
      <c r="AB9" s="7">
        <f>ROUND(+$AF9/12,0)</f>
        <v>2591</v>
      </c>
      <c r="AC9" s="6"/>
      <c r="AD9" s="7">
        <f>ROUND(+$AF9/12,0)</f>
        <v>2591</v>
      </c>
      <c r="AE9" s="6"/>
      <c r="AF9" s="7">
        <f>ROUND(+Assessments!J128,0)</f>
        <v>31096</v>
      </c>
      <c r="AI9" s="7">
        <v>37263.599999999999</v>
      </c>
    </row>
    <row r="10" spans="1:35" x14ac:dyDescent="0.25">
      <c r="A10" s="2"/>
      <c r="B10" s="2"/>
      <c r="C10" s="2"/>
      <c r="D10" s="2"/>
      <c r="E10" s="2"/>
      <c r="F10" s="2" t="s">
        <v>20</v>
      </c>
      <c r="G10" s="2"/>
      <c r="H10" s="5">
        <f>ROUND(SUM(H6:H9),5)</f>
        <v>3153</v>
      </c>
      <c r="I10" s="6"/>
      <c r="J10" s="5">
        <f>ROUND(SUM(J6:J9),5)</f>
        <v>3153</v>
      </c>
      <c r="K10" s="6"/>
      <c r="L10" s="5">
        <f>ROUND(SUM(L6:L9),5)</f>
        <v>3153</v>
      </c>
      <c r="M10" s="6"/>
      <c r="N10" s="5">
        <f>ROUND(SUM(N6:N9),5)</f>
        <v>3153</v>
      </c>
      <c r="O10" s="6"/>
      <c r="P10" s="5">
        <f>ROUND(SUM(P6:P9),5)</f>
        <v>3153</v>
      </c>
      <c r="Q10" s="6"/>
      <c r="R10" s="5">
        <f>ROUND(SUM(R6:R9),5)</f>
        <v>3153</v>
      </c>
      <c r="S10" s="6"/>
      <c r="T10" s="5">
        <f>ROUND(SUM(T6:T9),5)</f>
        <v>3153</v>
      </c>
      <c r="U10" s="6"/>
      <c r="V10" s="5">
        <f>ROUND(SUM(V6:V9),5)</f>
        <v>3153</v>
      </c>
      <c r="W10" s="6"/>
      <c r="X10" s="5">
        <f>ROUND(SUM(X6:X9),5)</f>
        <v>3153</v>
      </c>
      <c r="Y10" s="6"/>
      <c r="Z10" s="5">
        <f>ROUND(SUM(Z6:Z9),5)</f>
        <v>3153</v>
      </c>
      <c r="AA10" s="6"/>
      <c r="AB10" s="5">
        <f>ROUND(SUM(AB6:AB9),5)</f>
        <v>3153</v>
      </c>
      <c r="AC10" s="6"/>
      <c r="AD10" s="5">
        <f>ROUND(SUM(AD6:AD9),5)</f>
        <v>3153</v>
      </c>
      <c r="AE10" s="6"/>
      <c r="AF10" s="5">
        <f>ROUND(SUM(H10:AD10),5)</f>
        <v>37836</v>
      </c>
      <c r="AI10" s="5">
        <v>45367</v>
      </c>
    </row>
    <row r="11" spans="1:35" ht="30" customHeight="1" x14ac:dyDescent="0.25">
      <c r="A11" s="2"/>
      <c r="B11" s="2"/>
      <c r="C11" s="2"/>
      <c r="D11" s="2"/>
      <c r="E11" s="2"/>
      <c r="F11" s="2" t="s">
        <v>21</v>
      </c>
      <c r="G11" s="2"/>
      <c r="H11" s="5"/>
      <c r="I11" s="6"/>
      <c r="J11" s="5"/>
      <c r="K11" s="6"/>
      <c r="L11" s="5"/>
      <c r="M11" s="6"/>
      <c r="N11" s="5"/>
      <c r="O11" s="6"/>
      <c r="P11" s="5"/>
      <c r="Q11" s="6"/>
      <c r="R11" s="5"/>
      <c r="S11" s="6"/>
      <c r="T11" s="5"/>
      <c r="U11" s="6"/>
      <c r="V11" s="5"/>
      <c r="W11" s="6"/>
      <c r="X11" s="5"/>
      <c r="Y11" s="6"/>
      <c r="Z11" s="5"/>
      <c r="AA11" s="6"/>
      <c r="AB11" s="5"/>
      <c r="AC11" s="6"/>
      <c r="AD11" s="5"/>
      <c r="AE11" s="6"/>
      <c r="AF11" s="5"/>
      <c r="AI11" s="5"/>
    </row>
    <row r="12" spans="1:35" x14ac:dyDescent="0.25">
      <c r="A12" s="2"/>
      <c r="B12" s="2"/>
      <c r="C12" s="2"/>
      <c r="D12" s="2"/>
      <c r="E12" s="2"/>
      <c r="F12" s="2"/>
      <c r="G12" s="2" t="s">
        <v>17</v>
      </c>
      <c r="H12" s="5">
        <f t="shared" ref="H12:H16" si="0">ROUND(+$AF12/12,0)</f>
        <v>24</v>
      </c>
      <c r="I12" s="6"/>
      <c r="J12" s="5">
        <f t="shared" ref="J12:J16" si="1">ROUND(+$AF12/12,0)</f>
        <v>24</v>
      </c>
      <c r="K12" s="6"/>
      <c r="L12" s="5">
        <f t="shared" ref="L12:L16" si="2">ROUND(+$AF12/12,0)</f>
        <v>24</v>
      </c>
      <c r="M12" s="6"/>
      <c r="N12" s="5">
        <f t="shared" ref="N12:N16" si="3">ROUND(+$AF12/12,0)</f>
        <v>24</v>
      </c>
      <c r="O12" s="6"/>
      <c r="P12" s="5">
        <f t="shared" ref="P12:P16" si="4">ROUND(+$AF12/12,0)</f>
        <v>24</v>
      </c>
      <c r="Q12" s="6"/>
      <c r="R12" s="5">
        <f t="shared" ref="R12:R16" si="5">ROUND(+$AF12/12,0)</f>
        <v>24</v>
      </c>
      <c r="S12" s="6"/>
      <c r="T12" s="5">
        <f t="shared" ref="T12:T16" si="6">ROUND(+$AF12/12,0)</f>
        <v>24</v>
      </c>
      <c r="U12" s="6"/>
      <c r="V12" s="5">
        <f t="shared" ref="V12:V16" si="7">ROUND(+$AF12/12,0)</f>
        <v>24</v>
      </c>
      <c r="W12" s="6"/>
      <c r="X12" s="5">
        <f t="shared" ref="X12:X16" si="8">ROUND(+$AF12/12,0)</f>
        <v>24</v>
      </c>
      <c r="Y12" s="6"/>
      <c r="Z12" s="5">
        <f t="shared" ref="Z12:Z16" si="9">ROUND(+$AF12/12,0)</f>
        <v>24</v>
      </c>
      <c r="AA12" s="6"/>
      <c r="AB12" s="5">
        <f t="shared" ref="AB12:AB16" si="10">ROUND(+$AF12/12,0)</f>
        <v>24</v>
      </c>
      <c r="AC12" s="6"/>
      <c r="AD12" s="5">
        <f t="shared" ref="AD12:AD16" si="11">ROUND(+$AF12/12,0)</f>
        <v>24</v>
      </c>
      <c r="AE12" s="6"/>
      <c r="AF12" s="5">
        <f>ROUND(+Assessments!K45,0)</f>
        <v>290</v>
      </c>
      <c r="AI12" s="5">
        <v>290.12</v>
      </c>
    </row>
    <row r="13" spans="1:35" x14ac:dyDescent="0.25">
      <c r="A13" s="2"/>
      <c r="B13" s="2"/>
      <c r="C13" s="2"/>
      <c r="D13" s="2"/>
      <c r="E13" s="2"/>
      <c r="F13" s="2"/>
      <c r="G13" s="2" t="s">
        <v>18</v>
      </c>
      <c r="H13" s="5">
        <f t="shared" si="0"/>
        <v>580</v>
      </c>
      <c r="I13" s="6"/>
      <c r="J13" s="5">
        <f t="shared" si="1"/>
        <v>580</v>
      </c>
      <c r="K13" s="6"/>
      <c r="L13" s="5">
        <f t="shared" si="2"/>
        <v>580</v>
      </c>
      <c r="M13" s="6"/>
      <c r="N13" s="5">
        <f t="shared" si="3"/>
        <v>580</v>
      </c>
      <c r="O13" s="6"/>
      <c r="P13" s="5">
        <f t="shared" si="4"/>
        <v>580</v>
      </c>
      <c r="Q13" s="6"/>
      <c r="R13" s="5">
        <f t="shared" si="5"/>
        <v>580</v>
      </c>
      <c r="S13" s="6"/>
      <c r="T13" s="5">
        <f t="shared" si="6"/>
        <v>580</v>
      </c>
      <c r="U13" s="6"/>
      <c r="V13" s="5">
        <f t="shared" si="7"/>
        <v>580</v>
      </c>
      <c r="W13" s="6"/>
      <c r="X13" s="5">
        <f t="shared" si="8"/>
        <v>580</v>
      </c>
      <c r="Y13" s="6"/>
      <c r="Z13" s="5">
        <f t="shared" si="9"/>
        <v>580</v>
      </c>
      <c r="AA13" s="6"/>
      <c r="AB13" s="5">
        <f t="shared" si="10"/>
        <v>580</v>
      </c>
      <c r="AC13" s="6"/>
      <c r="AD13" s="5">
        <f t="shared" si="11"/>
        <v>580</v>
      </c>
      <c r="AE13" s="6"/>
      <c r="AF13" s="5">
        <f>ROUND(+Assessments!K132,0)</f>
        <v>6962</v>
      </c>
      <c r="AI13" s="5">
        <v>6962.4</v>
      </c>
    </row>
    <row r="14" spans="1:35" x14ac:dyDescent="0.25">
      <c r="A14" s="2"/>
      <c r="B14" s="2"/>
      <c r="C14" s="2"/>
      <c r="D14" s="2"/>
      <c r="E14" s="2"/>
      <c r="F14" s="2"/>
      <c r="G14" s="2" t="s">
        <v>19</v>
      </c>
      <c r="H14" s="5">
        <f t="shared" si="0"/>
        <v>1692</v>
      </c>
      <c r="I14" s="6"/>
      <c r="J14" s="5">
        <f t="shared" si="1"/>
        <v>1692</v>
      </c>
      <c r="K14" s="6"/>
      <c r="L14" s="5">
        <f t="shared" si="2"/>
        <v>1692</v>
      </c>
      <c r="M14" s="6"/>
      <c r="N14" s="5">
        <f t="shared" si="3"/>
        <v>1692</v>
      </c>
      <c r="O14" s="6"/>
      <c r="P14" s="5">
        <f t="shared" si="4"/>
        <v>1692</v>
      </c>
      <c r="Q14" s="6"/>
      <c r="R14" s="5">
        <f t="shared" si="5"/>
        <v>1692</v>
      </c>
      <c r="S14" s="6"/>
      <c r="T14" s="5">
        <f t="shared" si="6"/>
        <v>1692</v>
      </c>
      <c r="U14" s="6"/>
      <c r="V14" s="5">
        <f t="shared" si="7"/>
        <v>1692</v>
      </c>
      <c r="W14" s="6"/>
      <c r="X14" s="5">
        <f t="shared" si="8"/>
        <v>1692</v>
      </c>
      <c r="Y14" s="6"/>
      <c r="Z14" s="5">
        <f t="shared" si="9"/>
        <v>1692</v>
      </c>
      <c r="AA14" s="6"/>
      <c r="AB14" s="5">
        <f t="shared" si="10"/>
        <v>1692</v>
      </c>
      <c r="AC14" s="6"/>
      <c r="AD14" s="5">
        <f t="shared" si="11"/>
        <v>1692</v>
      </c>
      <c r="AE14" s="6"/>
      <c r="AF14" s="5">
        <f>ROUND(+Assessments!K128,0)</f>
        <v>20307</v>
      </c>
      <c r="AI14" s="5">
        <v>20308.400000000001</v>
      </c>
    </row>
    <row r="15" spans="1:35" x14ac:dyDescent="0.25">
      <c r="A15" s="2"/>
      <c r="B15" s="2"/>
      <c r="C15" s="2"/>
      <c r="D15" s="2"/>
      <c r="E15" s="2"/>
      <c r="F15" s="2"/>
      <c r="G15" s="2" t="s">
        <v>22</v>
      </c>
      <c r="H15" s="5">
        <f t="shared" si="0"/>
        <v>48</v>
      </c>
      <c r="I15" s="6"/>
      <c r="J15" s="5">
        <f t="shared" si="1"/>
        <v>48</v>
      </c>
      <c r="K15" s="6"/>
      <c r="L15" s="5">
        <f t="shared" si="2"/>
        <v>48</v>
      </c>
      <c r="M15" s="6"/>
      <c r="N15" s="5">
        <f t="shared" si="3"/>
        <v>48</v>
      </c>
      <c r="O15" s="6"/>
      <c r="P15" s="5">
        <f t="shared" si="4"/>
        <v>48</v>
      </c>
      <c r="Q15" s="6"/>
      <c r="R15" s="5">
        <f t="shared" si="5"/>
        <v>48</v>
      </c>
      <c r="S15" s="6"/>
      <c r="T15" s="5">
        <f t="shared" si="6"/>
        <v>48</v>
      </c>
      <c r="U15" s="6"/>
      <c r="V15" s="5">
        <f t="shared" si="7"/>
        <v>48</v>
      </c>
      <c r="W15" s="6"/>
      <c r="X15" s="5">
        <f t="shared" si="8"/>
        <v>48</v>
      </c>
      <c r="Y15" s="6"/>
      <c r="Z15" s="5">
        <f t="shared" si="9"/>
        <v>48</v>
      </c>
      <c r="AA15" s="6"/>
      <c r="AB15" s="5">
        <f t="shared" si="10"/>
        <v>48</v>
      </c>
      <c r="AC15" s="6"/>
      <c r="AD15" s="5">
        <f t="shared" si="11"/>
        <v>48</v>
      </c>
      <c r="AE15" s="6"/>
      <c r="AF15" s="5">
        <f>ROUND(+Assessments!K42,0)</f>
        <v>580</v>
      </c>
      <c r="AI15" s="5">
        <v>580.24</v>
      </c>
    </row>
    <row r="16" spans="1:35" ht="15.75" thickBot="1" x14ac:dyDescent="0.3">
      <c r="A16" s="2"/>
      <c r="B16" s="2"/>
      <c r="C16" s="2"/>
      <c r="D16" s="2"/>
      <c r="E16" s="2"/>
      <c r="F16" s="2"/>
      <c r="G16" s="2" t="s">
        <v>23</v>
      </c>
      <c r="H16" s="7">
        <f t="shared" si="0"/>
        <v>708</v>
      </c>
      <c r="I16" s="6"/>
      <c r="J16" s="7">
        <f t="shared" si="1"/>
        <v>708</v>
      </c>
      <c r="K16" s="6"/>
      <c r="L16" s="7">
        <f t="shared" si="2"/>
        <v>708</v>
      </c>
      <c r="M16" s="6"/>
      <c r="N16" s="7">
        <f t="shared" si="3"/>
        <v>708</v>
      </c>
      <c r="O16" s="6"/>
      <c r="P16" s="7">
        <f t="shared" si="4"/>
        <v>708</v>
      </c>
      <c r="Q16" s="6"/>
      <c r="R16" s="7">
        <f t="shared" si="5"/>
        <v>708</v>
      </c>
      <c r="S16" s="6"/>
      <c r="T16" s="7">
        <f t="shared" si="6"/>
        <v>708</v>
      </c>
      <c r="U16" s="6"/>
      <c r="V16" s="7">
        <f t="shared" si="7"/>
        <v>708</v>
      </c>
      <c r="W16" s="6"/>
      <c r="X16" s="7">
        <f t="shared" si="8"/>
        <v>708</v>
      </c>
      <c r="Y16" s="6"/>
      <c r="Z16" s="7">
        <f t="shared" si="9"/>
        <v>708</v>
      </c>
      <c r="AA16" s="6"/>
      <c r="AB16" s="7">
        <f t="shared" si="10"/>
        <v>708</v>
      </c>
      <c r="AC16" s="6"/>
      <c r="AD16" s="7">
        <f t="shared" si="11"/>
        <v>708</v>
      </c>
      <c r="AE16" s="6"/>
      <c r="AF16" s="7">
        <f>ROUND(+Assessments!K44,0)</f>
        <v>8500</v>
      </c>
      <c r="AI16" s="7">
        <v>5170.8100000000004</v>
      </c>
    </row>
    <row r="17" spans="1:35" x14ac:dyDescent="0.25">
      <c r="A17" s="2"/>
      <c r="B17" s="2"/>
      <c r="C17" s="2"/>
      <c r="D17" s="2"/>
      <c r="E17" s="2"/>
      <c r="F17" s="2" t="s">
        <v>24</v>
      </c>
      <c r="G17" s="2"/>
      <c r="H17" s="5">
        <f>ROUND(SUM(H11:H16),5)</f>
        <v>3052</v>
      </c>
      <c r="I17" s="6"/>
      <c r="J17" s="5">
        <f>ROUND(SUM(J11:J16),5)</f>
        <v>3052</v>
      </c>
      <c r="K17" s="6"/>
      <c r="L17" s="5">
        <f>ROUND(SUM(L11:L16),5)</f>
        <v>3052</v>
      </c>
      <c r="M17" s="6"/>
      <c r="N17" s="5">
        <f>ROUND(SUM(N11:N16),5)</f>
        <v>3052</v>
      </c>
      <c r="O17" s="6"/>
      <c r="P17" s="5">
        <f>ROUND(SUM(P11:P16),5)</f>
        <v>3052</v>
      </c>
      <c r="Q17" s="6"/>
      <c r="R17" s="5">
        <f>ROUND(SUM(R11:R16),5)</f>
        <v>3052</v>
      </c>
      <c r="S17" s="6"/>
      <c r="T17" s="5">
        <f>ROUND(SUM(T11:T16),5)</f>
        <v>3052</v>
      </c>
      <c r="U17" s="6"/>
      <c r="V17" s="5">
        <f>ROUND(SUM(V11:V16),5)</f>
        <v>3052</v>
      </c>
      <c r="W17" s="6"/>
      <c r="X17" s="5">
        <f>ROUND(SUM(X11:X16),5)</f>
        <v>3052</v>
      </c>
      <c r="Y17" s="6"/>
      <c r="Z17" s="5">
        <f>ROUND(SUM(Z11:Z16),5)</f>
        <v>3052</v>
      </c>
      <c r="AA17" s="6"/>
      <c r="AB17" s="5">
        <f>ROUND(SUM(AB11:AB16),5)</f>
        <v>3052</v>
      </c>
      <c r="AC17" s="6"/>
      <c r="AD17" s="5">
        <f>ROUND(SUM(AD11:AD16),5)</f>
        <v>3052</v>
      </c>
      <c r="AE17" s="6"/>
      <c r="AF17" s="5">
        <f t="shared" ref="AF17" si="12">ROUND(SUM(H17:AD17),5)</f>
        <v>36624</v>
      </c>
      <c r="AI17" s="5">
        <v>33311.97</v>
      </c>
    </row>
    <row r="18" spans="1:35" ht="30" customHeight="1" x14ac:dyDescent="0.25">
      <c r="A18" s="2"/>
      <c r="B18" s="2"/>
      <c r="C18" s="2"/>
      <c r="D18" s="2"/>
      <c r="E18" s="2"/>
      <c r="F18" s="2" t="s">
        <v>25</v>
      </c>
      <c r="G18" s="2"/>
      <c r="H18" s="5"/>
      <c r="I18" s="6"/>
      <c r="J18" s="5"/>
      <c r="K18" s="6"/>
      <c r="L18" s="5"/>
      <c r="M18" s="6"/>
      <c r="N18" s="5"/>
      <c r="O18" s="6"/>
      <c r="P18" s="5"/>
      <c r="Q18" s="6"/>
      <c r="R18" s="5"/>
      <c r="S18" s="6"/>
      <c r="T18" s="5"/>
      <c r="U18" s="6"/>
      <c r="V18" s="5"/>
      <c r="W18" s="6"/>
      <c r="X18" s="5"/>
      <c r="Y18" s="6"/>
      <c r="Z18" s="5"/>
      <c r="AA18" s="6"/>
      <c r="AB18" s="5"/>
      <c r="AC18" s="6"/>
      <c r="AD18" s="5"/>
      <c r="AE18" s="6"/>
      <c r="AF18" s="5"/>
      <c r="AI18" s="5"/>
    </row>
    <row r="19" spans="1:35" x14ac:dyDescent="0.25">
      <c r="A19" s="2"/>
      <c r="B19" s="2"/>
      <c r="C19" s="2"/>
      <c r="D19" s="2"/>
      <c r="E19" s="2"/>
      <c r="F19" s="2"/>
      <c r="G19" s="2" t="s">
        <v>26</v>
      </c>
      <c r="H19" s="5">
        <f t="shared" ref="H19:H24" si="13">ROUND(+$AF19/12,0)</f>
        <v>8133</v>
      </c>
      <c r="I19" s="6"/>
      <c r="J19" s="5">
        <f t="shared" ref="J19:J24" si="14">ROUND(+$AF19/12,0)</f>
        <v>8133</v>
      </c>
      <c r="K19" s="6"/>
      <c r="L19" s="5">
        <f t="shared" ref="L19:L24" si="15">ROUND(+$AF19/12,0)</f>
        <v>8133</v>
      </c>
      <c r="M19" s="6"/>
      <c r="N19" s="5">
        <f t="shared" ref="N19:N24" si="16">ROUND(+$AF19/12,0)</f>
        <v>8133</v>
      </c>
      <c r="O19" s="6"/>
      <c r="P19" s="5">
        <f t="shared" ref="P19:P24" si="17">ROUND(+$AF19/12,0)</f>
        <v>8133</v>
      </c>
      <c r="Q19" s="6"/>
      <c r="R19" s="5">
        <f t="shared" ref="R19:R24" si="18">ROUND(+$AF19/12,0)</f>
        <v>8133</v>
      </c>
      <c r="S19" s="6"/>
      <c r="T19" s="5">
        <f t="shared" ref="T19:T24" si="19">ROUND(+$AF19/12,0)</f>
        <v>8133</v>
      </c>
      <c r="U19" s="6"/>
      <c r="V19" s="5">
        <f t="shared" ref="V19:V24" si="20">ROUND(+$AF19/12,0)</f>
        <v>8133</v>
      </c>
      <c r="W19" s="6"/>
      <c r="X19" s="5">
        <f t="shared" ref="X19:X24" si="21">ROUND(+$AF19/12,0)</f>
        <v>8133</v>
      </c>
      <c r="Y19" s="6"/>
      <c r="Z19" s="5">
        <f t="shared" ref="Z19:Z24" si="22">ROUND(+$AF19/12,0)</f>
        <v>8133</v>
      </c>
      <c r="AA19" s="6"/>
      <c r="AB19" s="5">
        <f t="shared" ref="AB19:AB24" si="23">ROUND(+$AF19/12,0)</f>
        <v>8133</v>
      </c>
      <c r="AC19" s="6"/>
      <c r="AD19" s="5">
        <f t="shared" ref="AD19:AD24" si="24">ROUND(+$AF19/12,0)</f>
        <v>8133</v>
      </c>
      <c r="AE19" s="6"/>
      <c r="AF19" s="5">
        <f>ROUND(+Assessments!H21*0.975,0)</f>
        <v>97591</v>
      </c>
      <c r="AI19" s="5">
        <v>99632.960000000006</v>
      </c>
    </row>
    <row r="20" spans="1:35" x14ac:dyDescent="0.25">
      <c r="A20" s="2"/>
      <c r="B20" s="2"/>
      <c r="C20" s="2"/>
      <c r="D20" s="2"/>
      <c r="E20" s="2"/>
      <c r="F20" s="2"/>
      <c r="G20" s="2" t="s">
        <v>17</v>
      </c>
      <c r="H20" s="5">
        <f t="shared" si="13"/>
        <v>514</v>
      </c>
      <c r="I20" s="6"/>
      <c r="J20" s="5">
        <f t="shared" si="14"/>
        <v>514</v>
      </c>
      <c r="K20" s="6"/>
      <c r="L20" s="5">
        <f t="shared" si="15"/>
        <v>514</v>
      </c>
      <c r="M20" s="6"/>
      <c r="N20" s="5">
        <f t="shared" si="16"/>
        <v>514</v>
      </c>
      <c r="O20" s="6"/>
      <c r="P20" s="5">
        <f t="shared" si="17"/>
        <v>514</v>
      </c>
      <c r="Q20" s="6"/>
      <c r="R20" s="5">
        <f t="shared" si="18"/>
        <v>514</v>
      </c>
      <c r="S20" s="6"/>
      <c r="T20" s="5">
        <f t="shared" si="19"/>
        <v>514</v>
      </c>
      <c r="U20" s="6"/>
      <c r="V20" s="5">
        <f t="shared" si="20"/>
        <v>514</v>
      </c>
      <c r="W20" s="6"/>
      <c r="X20" s="5">
        <f t="shared" si="21"/>
        <v>514</v>
      </c>
      <c r="Y20" s="6"/>
      <c r="Z20" s="5">
        <f t="shared" si="22"/>
        <v>514</v>
      </c>
      <c r="AA20" s="6"/>
      <c r="AB20" s="5">
        <f t="shared" si="23"/>
        <v>514</v>
      </c>
      <c r="AC20" s="6"/>
      <c r="AD20" s="5">
        <f t="shared" si="24"/>
        <v>514</v>
      </c>
      <c r="AE20" s="6"/>
      <c r="AF20" s="5">
        <f>ROUND(+Assessments!H45*0.975,0)</f>
        <v>6162</v>
      </c>
      <c r="AI20" s="5">
        <v>5996.23</v>
      </c>
    </row>
    <row r="21" spans="1:35" x14ac:dyDescent="0.25">
      <c r="A21" s="2"/>
      <c r="B21" s="2"/>
      <c r="C21" s="2"/>
      <c r="D21" s="2"/>
      <c r="E21" s="2"/>
      <c r="F21" s="2"/>
      <c r="G21" s="2" t="s">
        <v>19</v>
      </c>
      <c r="H21" s="5">
        <f t="shared" si="13"/>
        <v>22348</v>
      </c>
      <c r="I21" s="6"/>
      <c r="J21" s="5">
        <f t="shared" si="14"/>
        <v>22348</v>
      </c>
      <c r="K21" s="6"/>
      <c r="L21" s="5">
        <f t="shared" si="15"/>
        <v>22348</v>
      </c>
      <c r="M21" s="6"/>
      <c r="N21" s="5">
        <f t="shared" si="16"/>
        <v>22348</v>
      </c>
      <c r="O21" s="6"/>
      <c r="P21" s="5">
        <f t="shared" si="17"/>
        <v>22348</v>
      </c>
      <c r="Q21" s="6"/>
      <c r="R21" s="5">
        <f t="shared" si="18"/>
        <v>22348</v>
      </c>
      <c r="S21" s="6"/>
      <c r="T21" s="5">
        <f t="shared" si="19"/>
        <v>22348</v>
      </c>
      <c r="U21" s="6"/>
      <c r="V21" s="5">
        <f t="shared" si="20"/>
        <v>22348</v>
      </c>
      <c r="W21" s="6"/>
      <c r="X21" s="5">
        <f t="shared" si="21"/>
        <v>22348</v>
      </c>
      <c r="Y21" s="6"/>
      <c r="Z21" s="5">
        <f t="shared" si="22"/>
        <v>22348</v>
      </c>
      <c r="AA21" s="6"/>
      <c r="AB21" s="5">
        <f t="shared" si="23"/>
        <v>22348</v>
      </c>
      <c r="AC21" s="6"/>
      <c r="AD21" s="5">
        <f t="shared" si="24"/>
        <v>22348</v>
      </c>
      <c r="AE21" s="6"/>
      <c r="AF21" s="5">
        <f>ROUND(+Assessments!H128*0.975,0)</f>
        <v>268178</v>
      </c>
      <c r="AI21" s="5">
        <v>276176.02</v>
      </c>
    </row>
    <row r="22" spans="1:35" x14ac:dyDescent="0.25">
      <c r="A22" s="2"/>
      <c r="B22" s="2"/>
      <c r="C22" s="2"/>
      <c r="D22" s="2"/>
      <c r="E22" s="2"/>
      <c r="F22" s="2"/>
      <c r="G22" s="2" t="s">
        <v>27</v>
      </c>
      <c r="H22" s="5">
        <f t="shared" si="13"/>
        <v>411</v>
      </c>
      <c r="I22" s="6"/>
      <c r="J22" s="5">
        <f t="shared" si="14"/>
        <v>411</v>
      </c>
      <c r="K22" s="6"/>
      <c r="L22" s="5">
        <f t="shared" si="15"/>
        <v>411</v>
      </c>
      <c r="M22" s="6"/>
      <c r="N22" s="5">
        <f t="shared" si="16"/>
        <v>411</v>
      </c>
      <c r="O22" s="6"/>
      <c r="P22" s="5">
        <f t="shared" si="17"/>
        <v>411</v>
      </c>
      <c r="Q22" s="6"/>
      <c r="R22" s="5">
        <f t="shared" si="18"/>
        <v>411</v>
      </c>
      <c r="S22" s="6"/>
      <c r="T22" s="5">
        <f t="shared" si="19"/>
        <v>411</v>
      </c>
      <c r="U22" s="6"/>
      <c r="V22" s="5">
        <f t="shared" si="20"/>
        <v>411</v>
      </c>
      <c r="W22" s="6"/>
      <c r="X22" s="5">
        <f t="shared" si="21"/>
        <v>411</v>
      </c>
      <c r="Y22" s="6"/>
      <c r="Z22" s="5">
        <f t="shared" si="22"/>
        <v>411</v>
      </c>
      <c r="AA22" s="6"/>
      <c r="AB22" s="5">
        <f t="shared" si="23"/>
        <v>411</v>
      </c>
      <c r="AC22" s="6"/>
      <c r="AD22" s="5">
        <f t="shared" si="24"/>
        <v>411</v>
      </c>
      <c r="AE22" s="6"/>
      <c r="AF22" s="5">
        <f>ROUND(+Assessments!H46*0.975,0)</f>
        <v>4937</v>
      </c>
      <c r="AI22" s="5">
        <v>4773.12</v>
      </c>
    </row>
    <row r="23" spans="1:35" x14ac:dyDescent="0.25">
      <c r="A23" s="2"/>
      <c r="B23" s="2"/>
      <c r="C23" s="2"/>
      <c r="D23" s="2"/>
      <c r="E23" s="2"/>
      <c r="F23" s="2"/>
      <c r="G23" s="2" t="s">
        <v>22</v>
      </c>
      <c r="H23" s="5">
        <f t="shared" si="13"/>
        <v>27917</v>
      </c>
      <c r="I23" s="6"/>
      <c r="J23" s="5">
        <f t="shared" si="14"/>
        <v>27917</v>
      </c>
      <c r="K23" s="6"/>
      <c r="L23" s="5">
        <f t="shared" si="15"/>
        <v>27917</v>
      </c>
      <c r="M23" s="6"/>
      <c r="N23" s="5">
        <f t="shared" si="16"/>
        <v>27917</v>
      </c>
      <c r="O23" s="6"/>
      <c r="P23" s="5">
        <f t="shared" si="17"/>
        <v>27917</v>
      </c>
      <c r="Q23" s="6"/>
      <c r="R23" s="5">
        <f t="shared" si="18"/>
        <v>27917</v>
      </c>
      <c r="S23" s="6"/>
      <c r="T23" s="5">
        <f t="shared" si="19"/>
        <v>27917</v>
      </c>
      <c r="U23" s="6"/>
      <c r="V23" s="5">
        <f t="shared" si="20"/>
        <v>27917</v>
      </c>
      <c r="W23" s="6"/>
      <c r="X23" s="5">
        <f t="shared" si="21"/>
        <v>27917</v>
      </c>
      <c r="Y23" s="6"/>
      <c r="Z23" s="5">
        <f t="shared" si="22"/>
        <v>27917</v>
      </c>
      <c r="AA23" s="6"/>
      <c r="AB23" s="5">
        <f t="shared" si="23"/>
        <v>27917</v>
      </c>
      <c r="AC23" s="6"/>
      <c r="AD23" s="5">
        <f t="shared" si="24"/>
        <v>27917</v>
      </c>
      <c r="AE23" s="6"/>
      <c r="AF23" s="5">
        <f>ROUND(+Assessments!H42*0.975,0)</f>
        <v>335009</v>
      </c>
      <c r="AI23" s="5">
        <v>317786.52</v>
      </c>
    </row>
    <row r="24" spans="1:35" ht="15.75" thickBot="1" x14ac:dyDescent="0.3">
      <c r="A24" s="2"/>
      <c r="B24" s="2"/>
      <c r="C24" s="2"/>
      <c r="D24" s="2"/>
      <c r="E24" s="2"/>
      <c r="F24" s="2"/>
      <c r="G24" s="2" t="s">
        <v>23</v>
      </c>
      <c r="H24" s="7">
        <f t="shared" si="13"/>
        <v>1358</v>
      </c>
      <c r="I24" s="6"/>
      <c r="J24" s="7">
        <f t="shared" si="14"/>
        <v>1358</v>
      </c>
      <c r="K24" s="6"/>
      <c r="L24" s="7">
        <f t="shared" si="15"/>
        <v>1358</v>
      </c>
      <c r="M24" s="6"/>
      <c r="N24" s="7">
        <f t="shared" si="16"/>
        <v>1358</v>
      </c>
      <c r="O24" s="6"/>
      <c r="P24" s="7">
        <f t="shared" si="17"/>
        <v>1358</v>
      </c>
      <c r="Q24" s="6"/>
      <c r="R24" s="7">
        <f t="shared" si="18"/>
        <v>1358</v>
      </c>
      <c r="S24" s="6"/>
      <c r="T24" s="7">
        <f t="shared" si="19"/>
        <v>1358</v>
      </c>
      <c r="U24" s="6"/>
      <c r="V24" s="7">
        <f t="shared" si="20"/>
        <v>1358</v>
      </c>
      <c r="W24" s="6"/>
      <c r="X24" s="7">
        <f t="shared" si="21"/>
        <v>1358</v>
      </c>
      <c r="Y24" s="6"/>
      <c r="Z24" s="7">
        <f t="shared" si="22"/>
        <v>1358</v>
      </c>
      <c r="AA24" s="6"/>
      <c r="AB24" s="7">
        <f t="shared" si="23"/>
        <v>1358</v>
      </c>
      <c r="AC24" s="6"/>
      <c r="AD24" s="7">
        <f t="shared" si="24"/>
        <v>1358</v>
      </c>
      <c r="AE24" s="6"/>
      <c r="AF24" s="7">
        <f>ROUND(+Assessments!H44*0.975,0)</f>
        <v>16292</v>
      </c>
      <c r="AI24" s="7">
        <v>15751.28</v>
      </c>
    </row>
    <row r="25" spans="1:35" x14ac:dyDescent="0.25">
      <c r="A25" s="2"/>
      <c r="B25" s="2"/>
      <c r="C25" s="2"/>
      <c r="D25" s="2"/>
      <c r="E25" s="2"/>
      <c r="F25" s="2" t="s">
        <v>28</v>
      </c>
      <c r="G25" s="2"/>
      <c r="H25" s="5">
        <f>ROUND(SUM(H18:H24),5)</f>
        <v>60681</v>
      </c>
      <c r="I25" s="6"/>
      <c r="J25" s="5">
        <f>ROUND(SUM(J18:J24),5)</f>
        <v>60681</v>
      </c>
      <c r="K25" s="6"/>
      <c r="L25" s="5">
        <f>ROUND(SUM(L18:L24),5)</f>
        <v>60681</v>
      </c>
      <c r="M25" s="6"/>
      <c r="N25" s="5">
        <f>ROUND(SUM(N18:N24),5)</f>
        <v>60681</v>
      </c>
      <c r="O25" s="6"/>
      <c r="P25" s="5">
        <f>ROUND(SUM(P18:P24),5)</f>
        <v>60681</v>
      </c>
      <c r="Q25" s="6"/>
      <c r="R25" s="5">
        <f>ROUND(SUM(R18:R24),5)</f>
        <v>60681</v>
      </c>
      <c r="S25" s="6"/>
      <c r="T25" s="5">
        <f>ROUND(SUM(T18:T24),5)</f>
        <v>60681</v>
      </c>
      <c r="U25" s="6"/>
      <c r="V25" s="5">
        <f>ROUND(SUM(V18:V24),5)</f>
        <v>60681</v>
      </c>
      <c r="W25" s="6"/>
      <c r="X25" s="5">
        <f>ROUND(SUM(X18:X24),5)</f>
        <v>60681</v>
      </c>
      <c r="Y25" s="6"/>
      <c r="Z25" s="5">
        <f>ROUND(SUM(Z18:Z24),5)</f>
        <v>60681</v>
      </c>
      <c r="AA25" s="6"/>
      <c r="AB25" s="5">
        <f>ROUND(SUM(AB18:AB24),5)</f>
        <v>60681</v>
      </c>
      <c r="AC25" s="6"/>
      <c r="AD25" s="5">
        <f>ROUND(SUM(AD18:AD24),5)</f>
        <v>60681</v>
      </c>
      <c r="AE25" s="6"/>
      <c r="AF25" s="5">
        <f t="shared" ref="AF25" si="25">ROUND(SUM(H25:AD25),5)</f>
        <v>728172</v>
      </c>
      <c r="AI25" s="5">
        <v>720116.13</v>
      </c>
    </row>
    <row r="26" spans="1:35" ht="30" customHeight="1" x14ac:dyDescent="0.25">
      <c r="A26" s="2"/>
      <c r="B26" s="2"/>
      <c r="C26" s="2"/>
      <c r="D26" s="2"/>
      <c r="E26" s="2"/>
      <c r="F26" s="2" t="s">
        <v>29</v>
      </c>
      <c r="G26" s="2"/>
      <c r="H26" s="5"/>
      <c r="I26" s="6"/>
      <c r="J26" s="5"/>
      <c r="K26" s="6"/>
      <c r="L26" s="5"/>
      <c r="M26" s="6"/>
      <c r="N26" s="5"/>
      <c r="O26" s="6"/>
      <c r="P26" s="5"/>
      <c r="Q26" s="6"/>
      <c r="R26" s="5"/>
      <c r="S26" s="6"/>
      <c r="T26" s="5"/>
      <c r="U26" s="6"/>
      <c r="V26" s="5"/>
      <c r="W26" s="6"/>
      <c r="X26" s="5"/>
      <c r="Y26" s="6"/>
      <c r="Z26" s="5"/>
      <c r="AA26" s="6"/>
      <c r="AB26" s="5"/>
      <c r="AC26" s="6"/>
      <c r="AD26" s="5"/>
      <c r="AE26" s="6"/>
      <c r="AF26" s="5"/>
      <c r="AI26" s="5"/>
    </row>
    <row r="27" spans="1:35" x14ac:dyDescent="0.25">
      <c r="A27" s="2"/>
      <c r="B27" s="2"/>
      <c r="C27" s="2"/>
      <c r="D27" s="2"/>
      <c r="E27" s="2"/>
      <c r="F27" s="2"/>
      <c r="G27" s="2" t="s">
        <v>30</v>
      </c>
      <c r="H27" s="5"/>
      <c r="I27" s="6"/>
      <c r="J27" s="5"/>
      <c r="K27" s="6"/>
      <c r="L27" s="5"/>
      <c r="M27" s="6"/>
      <c r="N27" s="5">
        <v>6000</v>
      </c>
      <c r="O27" s="6"/>
      <c r="P27" s="5"/>
      <c r="Q27" s="6"/>
      <c r="R27" s="5"/>
      <c r="S27" s="6"/>
      <c r="T27" s="5"/>
      <c r="U27" s="6"/>
      <c r="V27" s="5"/>
      <c r="W27" s="6"/>
      <c r="X27" s="5"/>
      <c r="Y27" s="6"/>
      <c r="Z27" s="5">
        <v>6000</v>
      </c>
      <c r="AA27" s="6"/>
      <c r="AB27" s="5"/>
      <c r="AC27" s="6"/>
      <c r="AD27" s="5"/>
      <c r="AE27" s="6"/>
      <c r="AF27" s="5">
        <f t="shared" ref="AF27:AF33" si="26">ROUND(SUM(H27:AD27),5)</f>
        <v>12000</v>
      </c>
      <c r="AI27" s="5">
        <v>12000</v>
      </c>
    </row>
    <row r="28" spans="1:35" x14ac:dyDescent="0.25">
      <c r="A28" s="2"/>
      <c r="B28" s="2"/>
      <c r="C28" s="2"/>
      <c r="D28" s="2"/>
      <c r="E28" s="2"/>
      <c r="F28" s="2"/>
      <c r="G28" s="2" t="s">
        <v>31</v>
      </c>
      <c r="H28" s="5">
        <v>0</v>
      </c>
      <c r="I28" s="6"/>
      <c r="J28" s="5">
        <v>0</v>
      </c>
      <c r="K28" s="6"/>
      <c r="L28" s="5">
        <v>0</v>
      </c>
      <c r="M28" s="6"/>
      <c r="N28" s="5">
        <v>0</v>
      </c>
      <c r="O28" s="6"/>
      <c r="P28" s="5">
        <v>0</v>
      </c>
      <c r="Q28" s="6"/>
      <c r="R28" s="5">
        <v>0</v>
      </c>
      <c r="S28" s="6"/>
      <c r="T28" s="5">
        <v>0</v>
      </c>
      <c r="U28" s="6"/>
      <c r="V28" s="5">
        <v>0</v>
      </c>
      <c r="W28" s="6"/>
      <c r="X28" s="5">
        <v>0</v>
      </c>
      <c r="Y28" s="6"/>
      <c r="Z28" s="5">
        <v>0</v>
      </c>
      <c r="AA28" s="6"/>
      <c r="AB28" s="5">
        <v>0</v>
      </c>
      <c r="AC28" s="6"/>
      <c r="AD28" s="5">
        <v>0</v>
      </c>
      <c r="AE28" s="6"/>
      <c r="AF28" s="5">
        <f t="shared" si="26"/>
        <v>0</v>
      </c>
      <c r="AI28" s="5"/>
    </row>
    <row r="29" spans="1:35" ht="15.75" thickBot="1" x14ac:dyDescent="0.3">
      <c r="A29" s="2"/>
      <c r="B29" s="2"/>
      <c r="C29" s="2"/>
      <c r="D29" s="2"/>
      <c r="E29" s="2"/>
      <c r="F29" s="2"/>
      <c r="G29" s="2" t="s">
        <v>32</v>
      </c>
      <c r="H29" s="8">
        <v>102</v>
      </c>
      <c r="I29" s="6"/>
      <c r="J29" s="8">
        <v>102</v>
      </c>
      <c r="K29" s="6"/>
      <c r="L29" s="8">
        <v>102</v>
      </c>
      <c r="M29" s="6"/>
      <c r="N29" s="8">
        <v>102</v>
      </c>
      <c r="O29" s="6"/>
      <c r="P29" s="8">
        <v>102</v>
      </c>
      <c r="Q29" s="6"/>
      <c r="R29" s="8">
        <v>102</v>
      </c>
      <c r="S29" s="6"/>
      <c r="T29" s="8">
        <v>102</v>
      </c>
      <c r="U29" s="6"/>
      <c r="V29" s="8">
        <v>102</v>
      </c>
      <c r="W29" s="6"/>
      <c r="X29" s="8">
        <v>102</v>
      </c>
      <c r="Y29" s="6"/>
      <c r="Z29" s="8">
        <v>102</v>
      </c>
      <c r="AA29" s="6"/>
      <c r="AB29" s="8">
        <v>102</v>
      </c>
      <c r="AC29" s="6"/>
      <c r="AD29" s="8">
        <v>102</v>
      </c>
      <c r="AE29" s="6"/>
      <c r="AF29" s="8">
        <f t="shared" si="26"/>
        <v>1224</v>
      </c>
      <c r="AI29" s="8">
        <v>5899.65</v>
      </c>
    </row>
    <row r="30" spans="1:35" ht="15.75" thickBot="1" x14ac:dyDescent="0.3">
      <c r="A30" s="2"/>
      <c r="B30" s="2"/>
      <c r="C30" s="2"/>
      <c r="D30" s="2"/>
      <c r="E30" s="2"/>
      <c r="F30" s="2" t="s">
        <v>33</v>
      </c>
      <c r="G30" s="2"/>
      <c r="H30" s="9">
        <f>ROUND(SUM(H26:H29),5)</f>
        <v>102</v>
      </c>
      <c r="I30" s="6"/>
      <c r="J30" s="9">
        <f>ROUND(SUM(J26:J29),5)</f>
        <v>102</v>
      </c>
      <c r="K30" s="6"/>
      <c r="L30" s="9">
        <f>ROUND(SUM(L26:L29),5)</f>
        <v>102</v>
      </c>
      <c r="M30" s="6"/>
      <c r="N30" s="9">
        <f>ROUND(SUM(N26:N29),5)</f>
        <v>6102</v>
      </c>
      <c r="O30" s="6"/>
      <c r="P30" s="9">
        <f>ROUND(SUM(P26:P29),5)</f>
        <v>102</v>
      </c>
      <c r="Q30" s="6"/>
      <c r="R30" s="9">
        <f>ROUND(SUM(R26:R29),5)</f>
        <v>102</v>
      </c>
      <c r="S30" s="6"/>
      <c r="T30" s="9">
        <f>ROUND(SUM(T26:T29),5)</f>
        <v>102</v>
      </c>
      <c r="U30" s="6"/>
      <c r="V30" s="9">
        <f>ROUND(SUM(V26:V29),5)</f>
        <v>102</v>
      </c>
      <c r="W30" s="6"/>
      <c r="X30" s="9">
        <f>ROUND(SUM(X26:X29),5)</f>
        <v>102</v>
      </c>
      <c r="Y30" s="6"/>
      <c r="Z30" s="9">
        <f>ROUND(SUM(Z26:Z29),5)</f>
        <v>6102</v>
      </c>
      <c r="AA30" s="6"/>
      <c r="AB30" s="9">
        <f>ROUND(SUM(AB26:AB29),5)</f>
        <v>102</v>
      </c>
      <c r="AC30" s="6"/>
      <c r="AD30" s="9">
        <f>ROUND(SUM(AD26:AD29),5)</f>
        <v>102</v>
      </c>
      <c r="AE30" s="6"/>
      <c r="AF30" s="9">
        <f t="shared" si="26"/>
        <v>13224</v>
      </c>
      <c r="AI30" s="9">
        <v>17899.650000000001</v>
      </c>
    </row>
    <row r="31" spans="1:35" ht="30" customHeight="1" thickBot="1" x14ac:dyDescent="0.3">
      <c r="A31" s="2"/>
      <c r="B31" s="2"/>
      <c r="C31" s="2"/>
      <c r="D31" s="2"/>
      <c r="E31" s="2" t="s">
        <v>34</v>
      </c>
      <c r="F31" s="2"/>
      <c r="G31" s="2"/>
      <c r="H31" s="9">
        <f>ROUND(H5+H10+H17+H25+H30,5)</f>
        <v>66988</v>
      </c>
      <c r="I31" s="6"/>
      <c r="J31" s="9">
        <f>ROUND(J5+J10+J17+J25+J30,5)</f>
        <v>66988</v>
      </c>
      <c r="K31" s="6"/>
      <c r="L31" s="9">
        <f>ROUND(L5+L10+L17+L25+L30,5)</f>
        <v>66988</v>
      </c>
      <c r="M31" s="6"/>
      <c r="N31" s="9">
        <f>ROUND(N5+N10+N17+N25+N30,5)</f>
        <v>72988</v>
      </c>
      <c r="O31" s="6"/>
      <c r="P31" s="9">
        <f>ROUND(P5+P10+P17+P25+P30,5)</f>
        <v>66988</v>
      </c>
      <c r="Q31" s="6"/>
      <c r="R31" s="9">
        <f>ROUND(R5+R10+R17+R25+R30,5)</f>
        <v>66988</v>
      </c>
      <c r="S31" s="6"/>
      <c r="T31" s="9">
        <f>ROUND(T5+T10+T17+T25+T30,5)</f>
        <v>66988</v>
      </c>
      <c r="U31" s="6"/>
      <c r="V31" s="9">
        <f>ROUND(V5+V10+V17+V25+V30,5)</f>
        <v>66988</v>
      </c>
      <c r="W31" s="6"/>
      <c r="X31" s="9">
        <f>ROUND(X5+X10+X17+X25+X30,5)</f>
        <v>66988</v>
      </c>
      <c r="Y31" s="6"/>
      <c r="Z31" s="9">
        <f>ROUND(Z5+Z10+Z17+Z25+Z30,5)</f>
        <v>72988</v>
      </c>
      <c r="AA31" s="6"/>
      <c r="AB31" s="9">
        <f>ROUND(AB5+AB10+AB17+AB25+AB30,5)</f>
        <v>66988</v>
      </c>
      <c r="AC31" s="6"/>
      <c r="AD31" s="9">
        <f>ROUND(AD5+AD10+AD17+AD25+AD30,5)</f>
        <v>66988</v>
      </c>
      <c r="AE31" s="6"/>
      <c r="AF31" s="9">
        <f t="shared" si="26"/>
        <v>815856</v>
      </c>
      <c r="AI31" s="9">
        <v>817750.35</v>
      </c>
    </row>
    <row r="32" spans="1:35" ht="30" customHeight="1" thickBot="1" x14ac:dyDescent="0.3">
      <c r="A32" s="2"/>
      <c r="B32" s="2"/>
      <c r="C32" s="2"/>
      <c r="D32" s="2" t="s">
        <v>34</v>
      </c>
      <c r="E32" s="2"/>
      <c r="F32" s="2"/>
      <c r="G32" s="2"/>
      <c r="H32" s="10">
        <f>ROUND(H4+H31,5)</f>
        <v>66988</v>
      </c>
      <c r="I32" s="6"/>
      <c r="J32" s="10">
        <f>ROUND(J4+J31,5)</f>
        <v>66988</v>
      </c>
      <c r="K32" s="6"/>
      <c r="L32" s="10">
        <f>ROUND(L4+L31,5)</f>
        <v>66988</v>
      </c>
      <c r="M32" s="6"/>
      <c r="N32" s="10">
        <f>ROUND(N4+N31,5)</f>
        <v>72988</v>
      </c>
      <c r="O32" s="6"/>
      <c r="P32" s="10">
        <f>ROUND(P4+P31,5)</f>
        <v>66988</v>
      </c>
      <c r="Q32" s="6"/>
      <c r="R32" s="10">
        <f>ROUND(R4+R31,5)</f>
        <v>66988</v>
      </c>
      <c r="S32" s="6"/>
      <c r="T32" s="10">
        <f>ROUND(T4+T31,5)</f>
        <v>66988</v>
      </c>
      <c r="U32" s="6"/>
      <c r="V32" s="10">
        <f>ROUND(V4+V31,5)</f>
        <v>66988</v>
      </c>
      <c r="W32" s="6"/>
      <c r="X32" s="10">
        <f>ROUND(X4+X31,5)</f>
        <v>66988</v>
      </c>
      <c r="Y32" s="6"/>
      <c r="Z32" s="10">
        <f>ROUND(Z4+Z31,5)</f>
        <v>72988</v>
      </c>
      <c r="AA32" s="6"/>
      <c r="AB32" s="10">
        <f>ROUND(AB4+AB31,5)</f>
        <v>66988</v>
      </c>
      <c r="AC32" s="6"/>
      <c r="AD32" s="10">
        <f>ROUND(AD4+AD31,5)</f>
        <v>66988</v>
      </c>
      <c r="AE32" s="6"/>
      <c r="AF32" s="10">
        <f t="shared" si="26"/>
        <v>815856</v>
      </c>
      <c r="AI32" s="10">
        <v>817750.35</v>
      </c>
    </row>
    <row r="33" spans="1:35" ht="30" customHeight="1" x14ac:dyDescent="0.25">
      <c r="A33" s="2"/>
      <c r="B33" s="2"/>
      <c r="C33" s="2" t="s">
        <v>35</v>
      </c>
      <c r="D33" s="2"/>
      <c r="E33" s="2"/>
      <c r="F33" s="2"/>
      <c r="G33" s="2"/>
      <c r="H33" s="5">
        <f>H32</f>
        <v>66988</v>
      </c>
      <c r="I33" s="6"/>
      <c r="J33" s="5">
        <f>J32</f>
        <v>66988</v>
      </c>
      <c r="K33" s="6"/>
      <c r="L33" s="5">
        <f>L32</f>
        <v>66988</v>
      </c>
      <c r="M33" s="6"/>
      <c r="N33" s="5">
        <f>N32</f>
        <v>72988</v>
      </c>
      <c r="O33" s="6"/>
      <c r="P33" s="5">
        <f>P32</f>
        <v>66988</v>
      </c>
      <c r="Q33" s="6"/>
      <c r="R33" s="5">
        <f>R32</f>
        <v>66988</v>
      </c>
      <c r="S33" s="6"/>
      <c r="T33" s="5">
        <f>T32</f>
        <v>66988</v>
      </c>
      <c r="U33" s="6"/>
      <c r="V33" s="5">
        <f>V32</f>
        <v>66988</v>
      </c>
      <c r="W33" s="6"/>
      <c r="X33" s="5">
        <f>X32</f>
        <v>66988</v>
      </c>
      <c r="Y33" s="6"/>
      <c r="Z33" s="5">
        <f>Z32</f>
        <v>72988</v>
      </c>
      <c r="AA33" s="6"/>
      <c r="AB33" s="5">
        <f>AB32</f>
        <v>66988</v>
      </c>
      <c r="AC33" s="6"/>
      <c r="AD33" s="5">
        <f>AD32</f>
        <v>66988</v>
      </c>
      <c r="AE33" s="6"/>
      <c r="AF33" s="5">
        <f t="shared" si="26"/>
        <v>815856</v>
      </c>
      <c r="AI33" s="5">
        <v>817750.35</v>
      </c>
    </row>
    <row r="34" spans="1:35" ht="30" customHeight="1" x14ac:dyDescent="0.25">
      <c r="A34" s="2"/>
      <c r="B34" s="2"/>
      <c r="C34" s="2"/>
      <c r="D34" s="2" t="s">
        <v>36</v>
      </c>
      <c r="E34" s="2"/>
      <c r="F34" s="2"/>
      <c r="G34" s="2"/>
      <c r="H34" s="5"/>
      <c r="I34" s="6"/>
      <c r="J34" s="5"/>
      <c r="K34" s="6"/>
      <c r="L34" s="5"/>
      <c r="M34" s="6"/>
      <c r="N34" s="5"/>
      <c r="O34" s="6"/>
      <c r="P34" s="5"/>
      <c r="Q34" s="6"/>
      <c r="R34" s="5"/>
      <c r="S34" s="6"/>
      <c r="T34" s="5"/>
      <c r="U34" s="6"/>
      <c r="V34" s="5"/>
      <c r="W34" s="6"/>
      <c r="X34" s="5"/>
      <c r="Y34" s="6"/>
      <c r="Z34" s="5"/>
      <c r="AA34" s="6"/>
      <c r="AB34" s="5"/>
      <c r="AC34" s="6"/>
      <c r="AD34" s="5"/>
      <c r="AE34" s="6"/>
      <c r="AF34" s="5"/>
      <c r="AI34" s="5"/>
    </row>
    <row r="35" spans="1:35" x14ac:dyDescent="0.25">
      <c r="A35" s="2"/>
      <c r="B35" s="2"/>
      <c r="C35" s="2"/>
      <c r="D35" s="2"/>
      <c r="E35" s="2" t="s">
        <v>37</v>
      </c>
      <c r="F35" s="2"/>
      <c r="G35" s="2"/>
      <c r="H35" s="5"/>
      <c r="I35" s="6"/>
      <c r="J35" s="5"/>
      <c r="K35" s="6"/>
      <c r="L35" s="5"/>
      <c r="M35" s="6"/>
      <c r="N35" s="5"/>
      <c r="O35" s="6"/>
      <c r="P35" s="5"/>
      <c r="Q35" s="6"/>
      <c r="R35" s="5"/>
      <c r="S35" s="6"/>
      <c r="T35" s="5"/>
      <c r="U35" s="6"/>
      <c r="V35" s="5"/>
      <c r="W35" s="6"/>
      <c r="X35" s="5"/>
      <c r="Y35" s="6"/>
      <c r="Z35" s="5"/>
      <c r="AA35" s="6"/>
      <c r="AB35" s="5"/>
      <c r="AC35" s="6"/>
      <c r="AD35" s="5"/>
      <c r="AE35" s="6"/>
      <c r="AF35" s="5"/>
      <c r="AI35" s="5"/>
    </row>
    <row r="36" spans="1:35" x14ac:dyDescent="0.25">
      <c r="A36" s="2"/>
      <c r="B36" s="2"/>
      <c r="C36" s="2"/>
      <c r="D36" s="2"/>
      <c r="E36" s="2"/>
      <c r="F36" s="2" t="s">
        <v>38</v>
      </c>
      <c r="G36" s="2"/>
      <c r="H36" s="5">
        <v>250</v>
      </c>
      <c r="I36" s="6"/>
      <c r="J36" s="5">
        <v>250</v>
      </c>
      <c r="K36" s="6"/>
      <c r="L36" s="5">
        <v>250</v>
      </c>
      <c r="M36" s="6"/>
      <c r="N36" s="5">
        <v>250</v>
      </c>
      <c r="O36" s="6"/>
      <c r="P36" s="5">
        <v>250</v>
      </c>
      <c r="Q36" s="6"/>
      <c r="R36" s="5">
        <v>250</v>
      </c>
      <c r="S36" s="6"/>
      <c r="T36" s="5">
        <v>250</v>
      </c>
      <c r="U36" s="6"/>
      <c r="V36" s="5">
        <v>250</v>
      </c>
      <c r="W36" s="6"/>
      <c r="X36" s="5">
        <v>250</v>
      </c>
      <c r="Y36" s="6"/>
      <c r="Z36" s="5">
        <v>250</v>
      </c>
      <c r="AA36" s="6"/>
      <c r="AB36" s="5">
        <v>250</v>
      </c>
      <c r="AC36" s="6"/>
      <c r="AD36" s="5">
        <v>250</v>
      </c>
      <c r="AE36" s="6"/>
      <c r="AF36" s="5">
        <f t="shared" ref="AF36:AF43" si="27">ROUND(SUM(H36:AD36),5)</f>
        <v>3000</v>
      </c>
      <c r="AI36" s="5">
        <v>3029.23</v>
      </c>
    </row>
    <row r="37" spans="1:35" x14ac:dyDescent="0.25">
      <c r="A37" s="2"/>
      <c r="B37" s="2"/>
      <c r="C37" s="2"/>
      <c r="D37" s="2"/>
      <c r="E37" s="2"/>
      <c r="F37" s="2" t="s">
        <v>39</v>
      </c>
      <c r="G37" s="2"/>
      <c r="H37" s="5">
        <v>3900</v>
      </c>
      <c r="I37" s="6"/>
      <c r="J37" s="5">
        <v>3900</v>
      </c>
      <c r="K37" s="6"/>
      <c r="L37" s="5">
        <v>3900</v>
      </c>
      <c r="M37" s="6"/>
      <c r="N37" s="5">
        <v>3900</v>
      </c>
      <c r="O37" s="6"/>
      <c r="P37" s="5">
        <v>3900</v>
      </c>
      <c r="Q37" s="6"/>
      <c r="R37" s="5">
        <v>3900</v>
      </c>
      <c r="S37" s="6"/>
      <c r="T37" s="5">
        <v>3900</v>
      </c>
      <c r="U37" s="6"/>
      <c r="V37" s="5">
        <v>3900</v>
      </c>
      <c r="W37" s="6"/>
      <c r="X37" s="5">
        <v>3900</v>
      </c>
      <c r="Y37" s="6"/>
      <c r="Z37" s="5">
        <v>3900</v>
      </c>
      <c r="AA37" s="6"/>
      <c r="AB37" s="5">
        <v>3900</v>
      </c>
      <c r="AC37" s="6"/>
      <c r="AD37" s="5">
        <v>3900</v>
      </c>
      <c r="AE37" s="6"/>
      <c r="AF37" s="5">
        <f t="shared" si="27"/>
        <v>46800</v>
      </c>
      <c r="AI37" s="5">
        <v>48642.5</v>
      </c>
    </row>
    <row r="38" spans="1:35" x14ac:dyDescent="0.25">
      <c r="A38" s="2"/>
      <c r="B38" s="2"/>
      <c r="C38" s="2"/>
      <c r="D38" s="2"/>
      <c r="E38" s="2"/>
      <c r="F38" s="2" t="s">
        <v>40</v>
      </c>
      <c r="G38" s="2"/>
      <c r="H38" s="5">
        <f t="shared" ref="H38" si="28">ROUND(+$AF38/12,0)</f>
        <v>3422</v>
      </c>
      <c r="I38" s="6"/>
      <c r="J38" s="5">
        <f t="shared" ref="J38" si="29">ROUND(+$AF38/12,0)</f>
        <v>3422</v>
      </c>
      <c r="K38" s="6"/>
      <c r="L38" s="5">
        <f t="shared" ref="L38" si="30">ROUND(+$AF38/12,0)</f>
        <v>3422</v>
      </c>
      <c r="M38" s="6"/>
      <c r="N38" s="5">
        <f t="shared" ref="N38" si="31">ROUND(+$AF38/12,0)</f>
        <v>3422</v>
      </c>
      <c r="O38" s="6"/>
      <c r="P38" s="5">
        <f t="shared" ref="P38" si="32">ROUND(+$AF38/12,0)</f>
        <v>3422</v>
      </c>
      <c r="Q38" s="6"/>
      <c r="R38" s="5">
        <f t="shared" ref="R38" si="33">ROUND(+$AF38/12,0)</f>
        <v>3422</v>
      </c>
      <c r="S38" s="6"/>
      <c r="T38" s="5">
        <f t="shared" ref="T38" si="34">ROUND(+$AF38/12,0)</f>
        <v>3422</v>
      </c>
      <c r="U38" s="6"/>
      <c r="V38" s="5">
        <f t="shared" ref="V38" si="35">ROUND(+$AF38/12,0)</f>
        <v>3422</v>
      </c>
      <c r="W38" s="6"/>
      <c r="X38" s="5">
        <f t="shared" ref="X38" si="36">ROUND(+$AF38/12,0)</f>
        <v>3422</v>
      </c>
      <c r="Y38" s="6"/>
      <c r="Z38" s="5">
        <f t="shared" ref="Z38" si="37">ROUND(+$AF38/12,0)</f>
        <v>3422</v>
      </c>
      <c r="AA38" s="6"/>
      <c r="AB38" s="5">
        <f t="shared" ref="AB38" si="38">ROUND(+$AF38/12,0)</f>
        <v>3422</v>
      </c>
      <c r="AC38" s="6"/>
      <c r="AD38" s="5">
        <f t="shared" ref="AD38" si="39">ROUND(+$AF38/12,0)</f>
        <v>3422</v>
      </c>
      <c r="AE38" s="6"/>
      <c r="AF38" s="5">
        <f>ROUND(+Assessments!M134*0.05,0)</f>
        <v>41066</v>
      </c>
      <c r="AI38" s="5">
        <v>42384</v>
      </c>
    </row>
    <row r="39" spans="1:35" x14ac:dyDescent="0.25">
      <c r="A39" s="2"/>
      <c r="B39" s="2"/>
      <c r="C39" s="2"/>
      <c r="D39" s="2"/>
      <c r="E39" s="2"/>
      <c r="F39" s="2" t="s">
        <v>41</v>
      </c>
      <c r="G39" s="2"/>
      <c r="H39" s="5">
        <v>250</v>
      </c>
      <c r="I39" s="6"/>
      <c r="J39" s="5">
        <v>250</v>
      </c>
      <c r="K39" s="6"/>
      <c r="L39" s="5">
        <v>250</v>
      </c>
      <c r="M39" s="6"/>
      <c r="N39" s="5">
        <v>250</v>
      </c>
      <c r="O39" s="6"/>
      <c r="P39" s="5">
        <v>250</v>
      </c>
      <c r="Q39" s="6"/>
      <c r="R39" s="5">
        <v>250</v>
      </c>
      <c r="S39" s="6"/>
      <c r="T39" s="5">
        <v>250</v>
      </c>
      <c r="U39" s="6"/>
      <c r="V39" s="5">
        <v>250</v>
      </c>
      <c r="W39" s="6"/>
      <c r="X39" s="5">
        <v>250</v>
      </c>
      <c r="Y39" s="6"/>
      <c r="Z39" s="5">
        <v>250</v>
      </c>
      <c r="AA39" s="6"/>
      <c r="AB39" s="5">
        <v>250</v>
      </c>
      <c r="AC39" s="6"/>
      <c r="AD39" s="5">
        <v>250</v>
      </c>
      <c r="AE39" s="6"/>
      <c r="AF39" s="5">
        <f t="shared" si="27"/>
        <v>3000</v>
      </c>
      <c r="AI39" s="5">
        <v>5913.89</v>
      </c>
    </row>
    <row r="40" spans="1:35" x14ac:dyDescent="0.25">
      <c r="A40" s="2"/>
      <c r="B40" s="2"/>
      <c r="C40" s="2"/>
      <c r="D40" s="2"/>
      <c r="E40" s="2"/>
      <c r="F40" s="2" t="s">
        <v>42</v>
      </c>
      <c r="G40" s="2"/>
      <c r="H40" s="5">
        <v>1750</v>
      </c>
      <c r="I40" s="6"/>
      <c r="J40" s="5">
        <v>1750</v>
      </c>
      <c r="K40" s="6"/>
      <c r="L40" s="5">
        <v>1750</v>
      </c>
      <c r="M40" s="6"/>
      <c r="N40" s="5">
        <v>1750</v>
      </c>
      <c r="O40" s="6"/>
      <c r="P40" s="5">
        <v>1750</v>
      </c>
      <c r="Q40" s="6"/>
      <c r="R40" s="5">
        <v>1750</v>
      </c>
      <c r="S40" s="6"/>
      <c r="T40" s="5">
        <v>1750</v>
      </c>
      <c r="U40" s="6"/>
      <c r="V40" s="5">
        <v>1750</v>
      </c>
      <c r="W40" s="6"/>
      <c r="X40" s="5">
        <v>1750</v>
      </c>
      <c r="Y40" s="6"/>
      <c r="Z40" s="5">
        <v>1750</v>
      </c>
      <c r="AA40" s="6"/>
      <c r="AB40" s="5">
        <v>1750</v>
      </c>
      <c r="AC40" s="6"/>
      <c r="AD40" s="5">
        <v>1750</v>
      </c>
      <c r="AE40" s="6"/>
      <c r="AF40" s="5">
        <f t="shared" si="27"/>
        <v>21000</v>
      </c>
      <c r="AI40" s="5">
        <v>-3180.79</v>
      </c>
    </row>
    <row r="41" spans="1:35" x14ac:dyDescent="0.25">
      <c r="A41" s="2"/>
      <c r="B41" s="2"/>
      <c r="C41" s="2"/>
      <c r="D41" s="2"/>
      <c r="E41" s="2"/>
      <c r="F41" s="2" t="s">
        <v>43</v>
      </c>
      <c r="G41" s="2"/>
      <c r="H41" s="5">
        <v>25</v>
      </c>
      <c r="I41" s="6"/>
      <c r="J41" s="5">
        <v>25</v>
      </c>
      <c r="K41" s="6"/>
      <c r="L41" s="5">
        <v>25</v>
      </c>
      <c r="M41" s="6"/>
      <c r="N41" s="5">
        <v>25</v>
      </c>
      <c r="O41" s="6"/>
      <c r="P41" s="5">
        <v>25</v>
      </c>
      <c r="Q41" s="6"/>
      <c r="R41" s="5">
        <v>25</v>
      </c>
      <c r="S41" s="6"/>
      <c r="T41" s="5">
        <v>25</v>
      </c>
      <c r="U41" s="6"/>
      <c r="V41" s="5">
        <v>25</v>
      </c>
      <c r="W41" s="6"/>
      <c r="X41" s="5">
        <v>25</v>
      </c>
      <c r="Y41" s="6"/>
      <c r="Z41" s="5">
        <v>25</v>
      </c>
      <c r="AA41" s="6"/>
      <c r="AB41" s="5">
        <v>25</v>
      </c>
      <c r="AC41" s="6"/>
      <c r="AD41" s="5">
        <v>25</v>
      </c>
      <c r="AE41" s="6"/>
      <c r="AF41" s="5">
        <f t="shared" si="27"/>
        <v>300</v>
      </c>
      <c r="AI41" s="5">
        <v>47.79</v>
      </c>
    </row>
    <row r="42" spans="1:35" ht="15.75" thickBot="1" x14ac:dyDescent="0.3">
      <c r="A42" s="2"/>
      <c r="B42" s="2"/>
      <c r="C42" s="2"/>
      <c r="D42" s="2"/>
      <c r="E42" s="2"/>
      <c r="F42" s="2" t="s">
        <v>44</v>
      </c>
      <c r="G42" s="2"/>
      <c r="H42" s="7">
        <v>760</v>
      </c>
      <c r="I42" s="6"/>
      <c r="J42" s="7">
        <v>760</v>
      </c>
      <c r="K42" s="6"/>
      <c r="L42" s="7">
        <v>760</v>
      </c>
      <c r="M42" s="6"/>
      <c r="N42" s="7">
        <v>760</v>
      </c>
      <c r="O42" s="6"/>
      <c r="P42" s="7">
        <v>760</v>
      </c>
      <c r="Q42" s="6"/>
      <c r="R42" s="7">
        <v>760</v>
      </c>
      <c r="S42" s="6"/>
      <c r="T42" s="7">
        <v>760</v>
      </c>
      <c r="U42" s="6"/>
      <c r="V42" s="7">
        <v>760</v>
      </c>
      <c r="W42" s="6"/>
      <c r="X42" s="7">
        <v>760</v>
      </c>
      <c r="Y42" s="6"/>
      <c r="Z42" s="7">
        <v>760</v>
      </c>
      <c r="AA42" s="6"/>
      <c r="AB42" s="7">
        <v>760</v>
      </c>
      <c r="AC42" s="6"/>
      <c r="AD42" s="7">
        <v>760</v>
      </c>
      <c r="AE42" s="6"/>
      <c r="AF42" s="7">
        <f t="shared" si="27"/>
        <v>9120</v>
      </c>
      <c r="AI42" s="7">
        <v>9120</v>
      </c>
    </row>
    <row r="43" spans="1:35" x14ac:dyDescent="0.25">
      <c r="A43" s="2"/>
      <c r="B43" s="2"/>
      <c r="C43" s="2"/>
      <c r="D43" s="2"/>
      <c r="E43" s="2" t="s">
        <v>45</v>
      </c>
      <c r="F43" s="2"/>
      <c r="G43" s="2"/>
      <c r="H43" s="5">
        <f>ROUND(SUM(H35:H42),5)</f>
        <v>10357</v>
      </c>
      <c r="I43" s="6"/>
      <c r="J43" s="5">
        <f>ROUND(SUM(J35:J42),5)</f>
        <v>10357</v>
      </c>
      <c r="K43" s="6"/>
      <c r="L43" s="5">
        <f>ROUND(SUM(L35:L42),5)</f>
        <v>10357</v>
      </c>
      <c r="M43" s="6"/>
      <c r="N43" s="5">
        <f>ROUND(SUM(N35:N42),5)</f>
        <v>10357</v>
      </c>
      <c r="O43" s="6"/>
      <c r="P43" s="5">
        <f>ROUND(SUM(P35:P42),5)</f>
        <v>10357</v>
      </c>
      <c r="Q43" s="6"/>
      <c r="R43" s="5">
        <f>ROUND(SUM(R35:R42),5)</f>
        <v>10357</v>
      </c>
      <c r="S43" s="6"/>
      <c r="T43" s="5">
        <f>ROUND(SUM(T35:T42),5)</f>
        <v>10357</v>
      </c>
      <c r="U43" s="6"/>
      <c r="V43" s="5">
        <f>ROUND(SUM(V35:V42),5)</f>
        <v>10357</v>
      </c>
      <c r="W43" s="6"/>
      <c r="X43" s="5">
        <f>ROUND(SUM(X35:X42),5)</f>
        <v>10357</v>
      </c>
      <c r="Y43" s="6"/>
      <c r="Z43" s="5">
        <f>ROUND(SUM(Z35:Z42),5)</f>
        <v>10357</v>
      </c>
      <c r="AA43" s="6"/>
      <c r="AB43" s="5">
        <f>ROUND(SUM(AB35:AB42),5)</f>
        <v>10357</v>
      </c>
      <c r="AC43" s="6"/>
      <c r="AD43" s="5">
        <f>ROUND(SUM(AD35:AD42),5)</f>
        <v>10357</v>
      </c>
      <c r="AE43" s="6"/>
      <c r="AF43" s="5">
        <f t="shared" si="27"/>
        <v>124284</v>
      </c>
      <c r="AI43" s="5">
        <v>105956.62</v>
      </c>
    </row>
    <row r="44" spans="1:35" ht="30" customHeight="1" x14ac:dyDescent="0.25">
      <c r="A44" s="2"/>
      <c r="B44" s="2"/>
      <c r="C44" s="2"/>
      <c r="D44" s="2"/>
      <c r="E44" s="2" t="s">
        <v>46</v>
      </c>
      <c r="F44" s="2"/>
      <c r="G44" s="2"/>
      <c r="H44" s="5"/>
      <c r="I44" s="6"/>
      <c r="J44" s="5"/>
      <c r="K44" s="6"/>
      <c r="L44" s="5"/>
      <c r="M44" s="6"/>
      <c r="N44" s="5"/>
      <c r="O44" s="6"/>
      <c r="P44" s="5"/>
      <c r="Q44" s="6"/>
      <c r="R44" s="5"/>
      <c r="S44" s="6"/>
      <c r="T44" s="5"/>
      <c r="U44" s="6"/>
      <c r="V44" s="5"/>
      <c r="W44" s="6"/>
      <c r="X44" s="5"/>
      <c r="Y44" s="6"/>
      <c r="Z44" s="5"/>
      <c r="AA44" s="6"/>
      <c r="AB44" s="5"/>
      <c r="AC44" s="6"/>
      <c r="AD44" s="5"/>
      <c r="AE44" s="6"/>
      <c r="AF44" s="5"/>
      <c r="AI44" s="5"/>
    </row>
    <row r="45" spans="1:35" x14ac:dyDescent="0.25">
      <c r="A45" s="2"/>
      <c r="B45" s="2"/>
      <c r="C45" s="2"/>
      <c r="D45" s="2"/>
      <c r="E45" s="2"/>
      <c r="F45" s="2" t="s">
        <v>47</v>
      </c>
      <c r="G45" s="2"/>
      <c r="H45" s="5">
        <v>7186</v>
      </c>
      <c r="I45" s="6"/>
      <c r="J45" s="5">
        <v>7186</v>
      </c>
      <c r="K45" s="6"/>
      <c r="L45" s="5">
        <v>7186</v>
      </c>
      <c r="M45" s="6"/>
      <c r="N45" s="5">
        <v>7186</v>
      </c>
      <c r="O45" s="6"/>
      <c r="P45" s="5">
        <v>7186</v>
      </c>
      <c r="Q45" s="6"/>
      <c r="R45" s="5">
        <v>7186</v>
      </c>
      <c r="S45" s="6"/>
      <c r="T45" s="5">
        <v>7186</v>
      </c>
      <c r="U45" s="6"/>
      <c r="V45" s="5">
        <v>7186</v>
      </c>
      <c r="W45" s="6"/>
      <c r="X45" s="5">
        <v>7186</v>
      </c>
      <c r="Y45" s="6"/>
      <c r="Z45" s="5">
        <v>7186</v>
      </c>
      <c r="AA45" s="6"/>
      <c r="AB45" s="5">
        <v>7186</v>
      </c>
      <c r="AC45" s="6"/>
      <c r="AD45" s="5">
        <v>7186</v>
      </c>
      <c r="AE45" s="6"/>
      <c r="AF45" s="5">
        <f>ROUND(SUM(H45:AD45),5)</f>
        <v>86232</v>
      </c>
      <c r="AI45" s="5">
        <v>83724</v>
      </c>
    </row>
    <row r="46" spans="1:35" x14ac:dyDescent="0.25">
      <c r="A46" s="2"/>
      <c r="B46" s="2"/>
      <c r="C46" s="2"/>
      <c r="D46" s="2"/>
      <c r="E46" s="2"/>
      <c r="F46" s="2" t="s">
        <v>48</v>
      </c>
      <c r="G46" s="2"/>
      <c r="H46" s="5">
        <v>7118</v>
      </c>
      <c r="I46" s="6"/>
      <c r="J46" s="5">
        <v>7118</v>
      </c>
      <c r="K46" s="6"/>
      <c r="L46" s="5">
        <v>7118</v>
      </c>
      <c r="M46" s="6"/>
      <c r="N46" s="5">
        <v>7118</v>
      </c>
      <c r="O46" s="6"/>
      <c r="P46" s="5">
        <v>7118</v>
      </c>
      <c r="Q46" s="6"/>
      <c r="R46" s="5">
        <v>7118</v>
      </c>
      <c r="S46" s="6"/>
      <c r="T46" s="5">
        <v>7118</v>
      </c>
      <c r="U46" s="6"/>
      <c r="V46" s="5">
        <v>7118</v>
      </c>
      <c r="W46" s="6"/>
      <c r="X46" s="5">
        <v>7118</v>
      </c>
      <c r="Y46" s="6"/>
      <c r="Z46" s="5">
        <v>7118</v>
      </c>
      <c r="AA46" s="6"/>
      <c r="AB46" s="5">
        <v>7118</v>
      </c>
      <c r="AC46" s="6"/>
      <c r="AD46" s="5">
        <v>7118</v>
      </c>
      <c r="AE46" s="6"/>
      <c r="AF46" s="5">
        <f>ROUND(SUM(H46:AD46),5)</f>
        <v>85416</v>
      </c>
      <c r="AI46" s="5">
        <v>82932</v>
      </c>
    </row>
    <row r="47" spans="1:35" ht="15.75" thickBot="1" x14ac:dyDescent="0.3">
      <c r="A47" s="2"/>
      <c r="B47" s="2"/>
      <c r="C47" s="2"/>
      <c r="D47" s="2"/>
      <c r="E47" s="2"/>
      <c r="F47" s="2" t="s">
        <v>49</v>
      </c>
      <c r="G47" s="2"/>
      <c r="H47" s="7">
        <v>6895</v>
      </c>
      <c r="I47" s="6"/>
      <c r="J47" s="7">
        <v>6895</v>
      </c>
      <c r="K47" s="6"/>
      <c r="L47" s="7">
        <v>6895</v>
      </c>
      <c r="M47" s="6"/>
      <c r="N47" s="7">
        <v>6895</v>
      </c>
      <c r="O47" s="6"/>
      <c r="P47" s="7">
        <v>6895</v>
      </c>
      <c r="Q47" s="6"/>
      <c r="R47" s="7">
        <v>6895</v>
      </c>
      <c r="S47" s="6"/>
      <c r="T47" s="7">
        <v>6895</v>
      </c>
      <c r="U47" s="6"/>
      <c r="V47" s="7">
        <v>6895</v>
      </c>
      <c r="W47" s="6"/>
      <c r="X47" s="7">
        <v>6895</v>
      </c>
      <c r="Y47" s="6"/>
      <c r="Z47" s="7">
        <v>6895</v>
      </c>
      <c r="AA47" s="6"/>
      <c r="AB47" s="7">
        <v>6895</v>
      </c>
      <c r="AC47" s="6"/>
      <c r="AD47" s="7">
        <v>6895</v>
      </c>
      <c r="AE47" s="6"/>
      <c r="AF47" s="7">
        <f>ROUND(SUM(H47:AD47),5)</f>
        <v>82740</v>
      </c>
      <c r="AI47" s="7">
        <v>80340</v>
      </c>
    </row>
    <row r="48" spans="1:35" x14ac:dyDescent="0.25">
      <c r="A48" s="2"/>
      <c r="B48" s="2"/>
      <c r="C48" s="2"/>
      <c r="D48" s="2"/>
      <c r="E48" s="2" t="s">
        <v>50</v>
      </c>
      <c r="F48" s="2"/>
      <c r="G48" s="2"/>
      <c r="H48" s="5">
        <f>ROUND(SUM(H44:H47),5)</f>
        <v>21199</v>
      </c>
      <c r="I48" s="6"/>
      <c r="J48" s="5">
        <f>ROUND(SUM(J44:J47),5)</f>
        <v>21199</v>
      </c>
      <c r="K48" s="6"/>
      <c r="L48" s="5">
        <f>ROUND(SUM(L44:L47),5)</f>
        <v>21199</v>
      </c>
      <c r="M48" s="6"/>
      <c r="N48" s="5">
        <f>ROUND(SUM(N44:N47),5)</f>
        <v>21199</v>
      </c>
      <c r="O48" s="6"/>
      <c r="P48" s="5">
        <f>ROUND(SUM(P44:P47),5)</f>
        <v>21199</v>
      </c>
      <c r="Q48" s="6"/>
      <c r="R48" s="5">
        <f>ROUND(SUM(R44:R47),5)</f>
        <v>21199</v>
      </c>
      <c r="S48" s="6"/>
      <c r="T48" s="5">
        <f>ROUND(SUM(T44:T47),5)</f>
        <v>21199</v>
      </c>
      <c r="U48" s="6"/>
      <c r="V48" s="5">
        <f>ROUND(SUM(V44:V47),5)</f>
        <v>21199</v>
      </c>
      <c r="W48" s="6"/>
      <c r="X48" s="5">
        <f>ROUND(SUM(X44:X47),5)</f>
        <v>21199</v>
      </c>
      <c r="Y48" s="6"/>
      <c r="Z48" s="5">
        <f>ROUND(SUM(Z44:Z47),5)</f>
        <v>21199</v>
      </c>
      <c r="AA48" s="6"/>
      <c r="AB48" s="5">
        <f>ROUND(SUM(AB44:AB47),5)</f>
        <v>21199</v>
      </c>
      <c r="AC48" s="6"/>
      <c r="AD48" s="5">
        <f>ROUND(SUM(AD44:AD47),5)</f>
        <v>21199</v>
      </c>
      <c r="AE48" s="6"/>
      <c r="AF48" s="5">
        <f>ROUND(SUM(H48:AD48),5)</f>
        <v>254388</v>
      </c>
      <c r="AI48" s="5">
        <v>246996</v>
      </c>
    </row>
    <row r="49" spans="1:35" ht="30" customHeight="1" x14ac:dyDescent="0.25">
      <c r="A49" s="2"/>
      <c r="B49" s="2"/>
      <c r="C49" s="2"/>
      <c r="D49" s="2"/>
      <c r="E49" s="2" t="s">
        <v>51</v>
      </c>
      <c r="F49" s="2"/>
      <c r="G49" s="2"/>
      <c r="H49" s="5"/>
      <c r="I49" s="6"/>
      <c r="J49" s="5"/>
      <c r="K49" s="6"/>
      <c r="L49" s="5"/>
      <c r="M49" s="6"/>
      <c r="N49" s="5"/>
      <c r="O49" s="6"/>
      <c r="P49" s="5"/>
      <c r="Q49" s="6"/>
      <c r="R49" s="5"/>
      <c r="S49" s="6"/>
      <c r="T49" s="5"/>
      <c r="U49" s="6"/>
      <c r="V49" s="5"/>
      <c r="W49" s="6"/>
      <c r="X49" s="5"/>
      <c r="Y49" s="6"/>
      <c r="Z49" s="5"/>
      <c r="AA49" s="6"/>
      <c r="AB49" s="5"/>
      <c r="AC49" s="6"/>
      <c r="AD49" s="5"/>
      <c r="AE49" s="6"/>
      <c r="AF49" s="5"/>
      <c r="AI49" s="5"/>
    </row>
    <row r="50" spans="1:35" x14ac:dyDescent="0.25">
      <c r="A50" s="2"/>
      <c r="B50" s="2"/>
      <c r="C50" s="2"/>
      <c r="D50" s="2"/>
      <c r="E50" s="2"/>
      <c r="F50" s="2" t="s">
        <v>52</v>
      </c>
      <c r="G50" s="2"/>
      <c r="H50" s="5">
        <v>3000</v>
      </c>
      <c r="I50" s="6"/>
      <c r="J50" s="5">
        <v>3000</v>
      </c>
      <c r="K50" s="6"/>
      <c r="L50" s="5">
        <v>3000</v>
      </c>
      <c r="M50" s="6"/>
      <c r="N50" s="5">
        <v>3000</v>
      </c>
      <c r="O50" s="6"/>
      <c r="P50" s="5">
        <v>3000</v>
      </c>
      <c r="Q50" s="6"/>
      <c r="R50" s="5">
        <v>3000</v>
      </c>
      <c r="S50" s="6"/>
      <c r="T50" s="5">
        <v>3000</v>
      </c>
      <c r="U50" s="6"/>
      <c r="V50" s="5">
        <v>3000</v>
      </c>
      <c r="W50" s="6"/>
      <c r="X50" s="5">
        <v>3000</v>
      </c>
      <c r="Y50" s="6"/>
      <c r="Z50" s="5">
        <v>3000</v>
      </c>
      <c r="AA50" s="6"/>
      <c r="AB50" s="5">
        <v>3000</v>
      </c>
      <c r="AC50" s="6"/>
      <c r="AD50" s="5">
        <v>3000</v>
      </c>
      <c r="AE50" s="6"/>
      <c r="AF50" s="5">
        <f>ROUND(SUM(H50:AD50),5)</f>
        <v>36000</v>
      </c>
      <c r="AI50" s="5">
        <v>21567.08</v>
      </c>
    </row>
    <row r="51" spans="1:35" x14ac:dyDescent="0.25">
      <c r="A51" s="2"/>
      <c r="B51" s="2"/>
      <c r="C51" s="2"/>
      <c r="D51" s="2"/>
      <c r="E51" s="2"/>
      <c r="F51" s="2" t="s">
        <v>53</v>
      </c>
      <c r="G51" s="2"/>
      <c r="H51" s="5"/>
      <c r="I51" s="6"/>
      <c r="J51" s="5"/>
      <c r="K51" s="6"/>
      <c r="L51" s="5"/>
      <c r="M51" s="6"/>
      <c r="N51" s="5"/>
      <c r="O51" s="6"/>
      <c r="P51" s="5"/>
      <c r="Q51" s="6"/>
      <c r="R51" s="5"/>
      <c r="S51" s="6"/>
      <c r="T51" s="5"/>
      <c r="U51" s="6"/>
      <c r="V51" s="5"/>
      <c r="W51" s="6"/>
      <c r="X51" s="5"/>
      <c r="Y51" s="6"/>
      <c r="Z51" s="5"/>
      <c r="AA51" s="6"/>
      <c r="AB51" s="5"/>
      <c r="AC51" s="6"/>
      <c r="AD51" s="5"/>
      <c r="AE51" s="6"/>
      <c r="AF51" s="5"/>
      <c r="AI51" s="5"/>
    </row>
    <row r="52" spans="1:35" x14ac:dyDescent="0.25">
      <c r="A52" s="2"/>
      <c r="B52" s="2"/>
      <c r="C52" s="2"/>
      <c r="D52" s="2"/>
      <c r="E52" s="2"/>
      <c r="F52" s="2"/>
      <c r="G52" s="2" t="s">
        <v>54</v>
      </c>
      <c r="H52" s="5">
        <v>1000</v>
      </c>
      <c r="I52" s="6"/>
      <c r="J52" s="5">
        <v>1000</v>
      </c>
      <c r="K52" s="6"/>
      <c r="L52" s="5">
        <v>1000</v>
      </c>
      <c r="M52" s="6"/>
      <c r="N52" s="5">
        <v>1000</v>
      </c>
      <c r="O52" s="6"/>
      <c r="P52" s="5">
        <v>1000</v>
      </c>
      <c r="Q52" s="6"/>
      <c r="R52" s="5">
        <v>1000</v>
      </c>
      <c r="S52" s="6"/>
      <c r="T52" s="5">
        <v>1000</v>
      </c>
      <c r="U52" s="6"/>
      <c r="V52" s="5">
        <v>1000</v>
      </c>
      <c r="W52" s="6"/>
      <c r="X52" s="5">
        <v>1000</v>
      </c>
      <c r="Y52" s="6"/>
      <c r="Z52" s="5">
        <v>1000</v>
      </c>
      <c r="AA52" s="6"/>
      <c r="AB52" s="5">
        <v>1000</v>
      </c>
      <c r="AC52" s="6"/>
      <c r="AD52" s="5">
        <v>1000</v>
      </c>
      <c r="AE52" s="6"/>
      <c r="AF52" s="5">
        <f t="shared" ref="AF52:AF59" si="40">ROUND(SUM(H52:AD52),5)</f>
        <v>12000</v>
      </c>
      <c r="AI52" s="5">
        <v>6539.88</v>
      </c>
    </row>
    <row r="53" spans="1:35" x14ac:dyDescent="0.25">
      <c r="A53" s="2"/>
      <c r="B53" s="2"/>
      <c r="C53" s="2"/>
      <c r="D53" s="2"/>
      <c r="E53" s="2"/>
      <c r="F53" s="2"/>
      <c r="G53" s="2" t="s">
        <v>55</v>
      </c>
      <c r="H53" s="5">
        <v>150</v>
      </c>
      <c r="I53" s="6"/>
      <c r="J53" s="5">
        <v>150</v>
      </c>
      <c r="K53" s="6"/>
      <c r="L53" s="5">
        <v>150</v>
      </c>
      <c r="M53" s="6"/>
      <c r="N53" s="5">
        <v>150</v>
      </c>
      <c r="O53" s="6"/>
      <c r="P53" s="5">
        <v>500</v>
      </c>
      <c r="Q53" s="6"/>
      <c r="R53" s="5">
        <v>150</v>
      </c>
      <c r="S53" s="6"/>
      <c r="T53" s="5">
        <v>500</v>
      </c>
      <c r="U53" s="6"/>
      <c r="V53" s="5">
        <v>150</v>
      </c>
      <c r="W53" s="6"/>
      <c r="X53" s="5">
        <v>400</v>
      </c>
      <c r="Y53" s="6"/>
      <c r="Z53" s="5">
        <v>400</v>
      </c>
      <c r="AA53" s="6"/>
      <c r="AB53" s="5">
        <v>150</v>
      </c>
      <c r="AC53" s="6"/>
      <c r="AD53" s="5">
        <v>150</v>
      </c>
      <c r="AE53" s="6"/>
      <c r="AF53" s="5">
        <f t="shared" si="40"/>
        <v>3000</v>
      </c>
      <c r="AI53" s="5">
        <v>2343.2199999999998</v>
      </c>
    </row>
    <row r="54" spans="1:35" ht="15.75" thickBot="1" x14ac:dyDescent="0.3">
      <c r="A54" s="2"/>
      <c r="B54" s="2"/>
      <c r="C54" s="2"/>
      <c r="D54" s="2"/>
      <c r="E54" s="2"/>
      <c r="F54" s="2"/>
      <c r="G54" s="2" t="s">
        <v>56</v>
      </c>
      <c r="H54" s="7"/>
      <c r="I54" s="6"/>
      <c r="J54" s="7"/>
      <c r="K54" s="6"/>
      <c r="L54" s="7"/>
      <c r="M54" s="6"/>
      <c r="N54" s="7"/>
      <c r="O54" s="6"/>
      <c r="P54" s="7"/>
      <c r="Q54" s="6"/>
      <c r="R54" s="7"/>
      <c r="S54" s="6"/>
      <c r="T54" s="7"/>
      <c r="U54" s="6"/>
      <c r="V54" s="7">
        <v>2500</v>
      </c>
      <c r="W54" s="6"/>
      <c r="X54" s="7"/>
      <c r="Y54" s="6"/>
      <c r="Z54" s="7"/>
      <c r="AA54" s="6"/>
      <c r="AB54" s="7"/>
      <c r="AC54" s="6"/>
      <c r="AD54" s="7"/>
      <c r="AE54" s="6"/>
      <c r="AF54" s="7">
        <f t="shared" si="40"/>
        <v>2500</v>
      </c>
      <c r="AI54" s="7">
        <v>2330</v>
      </c>
    </row>
    <row r="55" spans="1:35" x14ac:dyDescent="0.25">
      <c r="A55" s="2"/>
      <c r="B55" s="2"/>
      <c r="C55" s="2"/>
      <c r="D55" s="2"/>
      <c r="E55" s="2"/>
      <c r="F55" s="2" t="s">
        <v>57</v>
      </c>
      <c r="G55" s="2"/>
      <c r="H55" s="5">
        <f>ROUND(SUM(H51:H54),5)</f>
        <v>1150</v>
      </c>
      <c r="I55" s="6"/>
      <c r="J55" s="5">
        <f>ROUND(SUM(J51:J54),5)</f>
        <v>1150</v>
      </c>
      <c r="K55" s="6"/>
      <c r="L55" s="5">
        <f>ROUND(SUM(L51:L54),5)</f>
        <v>1150</v>
      </c>
      <c r="M55" s="6"/>
      <c r="N55" s="5">
        <f>ROUND(SUM(N51:N54),5)</f>
        <v>1150</v>
      </c>
      <c r="O55" s="6"/>
      <c r="P55" s="5">
        <f>ROUND(SUM(P51:P54),5)</f>
        <v>1500</v>
      </c>
      <c r="Q55" s="6"/>
      <c r="R55" s="5">
        <f>ROUND(SUM(R51:R54),5)</f>
        <v>1150</v>
      </c>
      <c r="S55" s="6"/>
      <c r="T55" s="5">
        <f>ROUND(SUM(T51:T54),5)</f>
        <v>1500</v>
      </c>
      <c r="U55" s="6"/>
      <c r="V55" s="5">
        <f>ROUND(SUM(V51:V54),5)</f>
        <v>3650</v>
      </c>
      <c r="W55" s="6"/>
      <c r="X55" s="5">
        <f>ROUND(SUM(X51:X54),5)</f>
        <v>1400</v>
      </c>
      <c r="Y55" s="6"/>
      <c r="Z55" s="5">
        <f>ROUND(SUM(Z51:Z54),5)</f>
        <v>1400</v>
      </c>
      <c r="AA55" s="6"/>
      <c r="AB55" s="5">
        <f>ROUND(SUM(AB51:AB54),5)</f>
        <v>1150</v>
      </c>
      <c r="AC55" s="6"/>
      <c r="AD55" s="5">
        <f>ROUND(SUM(AD51:AD54),5)</f>
        <v>1150</v>
      </c>
      <c r="AE55" s="6"/>
      <c r="AF55" s="5">
        <f t="shared" si="40"/>
        <v>17500</v>
      </c>
      <c r="AI55" s="5">
        <v>11213.1</v>
      </c>
    </row>
    <row r="56" spans="1:35" ht="30" customHeight="1" x14ac:dyDescent="0.25">
      <c r="A56" s="2"/>
      <c r="B56" s="2"/>
      <c r="C56" s="2"/>
      <c r="D56" s="2"/>
      <c r="E56" s="2"/>
      <c r="F56" s="2" t="s">
        <v>58</v>
      </c>
      <c r="G56" s="2"/>
      <c r="H56" s="5">
        <v>950</v>
      </c>
      <c r="I56" s="6"/>
      <c r="J56" s="5">
        <v>950</v>
      </c>
      <c r="K56" s="6"/>
      <c r="L56" s="5">
        <v>950</v>
      </c>
      <c r="M56" s="6"/>
      <c r="N56" s="5">
        <v>950</v>
      </c>
      <c r="O56" s="6"/>
      <c r="P56" s="5">
        <v>5950</v>
      </c>
      <c r="Q56" s="6"/>
      <c r="R56" s="5">
        <v>950</v>
      </c>
      <c r="S56" s="6"/>
      <c r="T56" s="5">
        <v>950</v>
      </c>
      <c r="U56" s="6"/>
      <c r="V56" s="5">
        <v>950</v>
      </c>
      <c r="W56" s="6"/>
      <c r="X56" s="5">
        <v>950</v>
      </c>
      <c r="Y56" s="6"/>
      <c r="Z56" s="5">
        <v>950</v>
      </c>
      <c r="AA56" s="6"/>
      <c r="AB56" s="5">
        <v>950</v>
      </c>
      <c r="AC56" s="6"/>
      <c r="AD56" s="5">
        <v>950</v>
      </c>
      <c r="AE56" s="6"/>
      <c r="AF56" s="5">
        <f t="shared" si="40"/>
        <v>16400</v>
      </c>
      <c r="AI56" s="5">
        <v>3462.99</v>
      </c>
    </row>
    <row r="57" spans="1:35" x14ac:dyDescent="0.25">
      <c r="A57" s="2"/>
      <c r="B57" s="2"/>
      <c r="C57" s="2"/>
      <c r="D57" s="2"/>
      <c r="E57" s="2"/>
      <c r="F57" s="2" t="s">
        <v>59</v>
      </c>
      <c r="G57" s="2"/>
      <c r="H57" s="5">
        <v>1250</v>
      </c>
      <c r="I57" s="6"/>
      <c r="J57" s="5">
        <v>1250</v>
      </c>
      <c r="K57" s="6"/>
      <c r="L57" s="5">
        <v>1250</v>
      </c>
      <c r="M57" s="6"/>
      <c r="N57" s="5">
        <v>1250</v>
      </c>
      <c r="O57" s="6"/>
      <c r="P57" s="5">
        <v>1250</v>
      </c>
      <c r="Q57" s="6"/>
      <c r="R57" s="5">
        <v>1250</v>
      </c>
      <c r="S57" s="6"/>
      <c r="T57" s="5">
        <v>1250</v>
      </c>
      <c r="U57" s="6"/>
      <c r="V57" s="5">
        <v>1250</v>
      </c>
      <c r="W57" s="6"/>
      <c r="X57" s="5">
        <v>1250</v>
      </c>
      <c r="Y57" s="6"/>
      <c r="Z57" s="5">
        <v>1250</v>
      </c>
      <c r="AA57" s="6"/>
      <c r="AB57" s="5">
        <v>1250</v>
      </c>
      <c r="AC57" s="6"/>
      <c r="AD57" s="5">
        <v>1250</v>
      </c>
      <c r="AE57" s="6"/>
      <c r="AF57" s="5">
        <f t="shared" si="40"/>
        <v>15000</v>
      </c>
      <c r="AI57" s="5">
        <v>14976</v>
      </c>
    </row>
    <row r="58" spans="1:35" x14ac:dyDescent="0.25">
      <c r="A58" s="2"/>
      <c r="B58" s="2"/>
      <c r="C58" s="2"/>
      <c r="D58" s="2"/>
      <c r="E58" s="2"/>
      <c r="F58" s="2" t="s">
        <v>60</v>
      </c>
      <c r="G58" s="2"/>
      <c r="H58" s="5">
        <v>100</v>
      </c>
      <c r="I58" s="6"/>
      <c r="J58" s="5">
        <v>100</v>
      </c>
      <c r="K58" s="6"/>
      <c r="L58" s="5">
        <v>100</v>
      </c>
      <c r="M58" s="6"/>
      <c r="N58" s="5">
        <v>100</v>
      </c>
      <c r="O58" s="6"/>
      <c r="P58" s="5">
        <v>100</v>
      </c>
      <c r="Q58" s="6"/>
      <c r="R58" s="5">
        <v>100</v>
      </c>
      <c r="S58" s="6"/>
      <c r="T58" s="5">
        <v>100</v>
      </c>
      <c r="U58" s="6"/>
      <c r="V58" s="5">
        <v>100</v>
      </c>
      <c r="W58" s="6"/>
      <c r="X58" s="5">
        <v>100</v>
      </c>
      <c r="Y58" s="6"/>
      <c r="Z58" s="5">
        <v>100</v>
      </c>
      <c r="AA58" s="6"/>
      <c r="AB58" s="5">
        <v>100</v>
      </c>
      <c r="AC58" s="6"/>
      <c r="AD58" s="5">
        <v>100</v>
      </c>
      <c r="AE58" s="6"/>
      <c r="AF58" s="5">
        <f t="shared" si="40"/>
        <v>1200</v>
      </c>
      <c r="AI58" s="5">
        <v>196.01</v>
      </c>
    </row>
    <row r="59" spans="1:35" x14ac:dyDescent="0.25">
      <c r="A59" s="2"/>
      <c r="B59" s="2"/>
      <c r="C59" s="2"/>
      <c r="D59" s="2"/>
      <c r="E59" s="2"/>
      <c r="F59" s="2" t="s">
        <v>61</v>
      </c>
      <c r="G59" s="2"/>
      <c r="H59" s="5">
        <v>50</v>
      </c>
      <c r="I59" s="6"/>
      <c r="J59" s="5">
        <v>50</v>
      </c>
      <c r="K59" s="6"/>
      <c r="L59" s="5">
        <v>50</v>
      </c>
      <c r="M59" s="6"/>
      <c r="N59" s="5">
        <v>50</v>
      </c>
      <c r="O59" s="6"/>
      <c r="P59" s="5">
        <v>50</v>
      </c>
      <c r="Q59" s="6"/>
      <c r="R59" s="5">
        <v>50</v>
      </c>
      <c r="S59" s="6"/>
      <c r="T59" s="5">
        <v>50</v>
      </c>
      <c r="U59" s="6"/>
      <c r="V59" s="5">
        <v>50</v>
      </c>
      <c r="W59" s="6"/>
      <c r="X59" s="5">
        <v>50</v>
      </c>
      <c r="Y59" s="6"/>
      <c r="Z59" s="5">
        <v>50</v>
      </c>
      <c r="AA59" s="6"/>
      <c r="AB59" s="5">
        <v>50</v>
      </c>
      <c r="AC59" s="6"/>
      <c r="AD59" s="5">
        <v>50</v>
      </c>
      <c r="AE59" s="6"/>
      <c r="AF59" s="5">
        <f t="shared" si="40"/>
        <v>600</v>
      </c>
      <c r="AI59" s="5">
        <v>4045.21</v>
      </c>
    </row>
    <row r="60" spans="1:35" x14ac:dyDescent="0.25">
      <c r="A60" s="2"/>
      <c r="B60" s="2"/>
      <c r="C60" s="2"/>
      <c r="D60" s="2"/>
      <c r="E60" s="2"/>
      <c r="F60" s="2" t="s">
        <v>62</v>
      </c>
      <c r="G60" s="2"/>
      <c r="H60" s="5"/>
      <c r="I60" s="6"/>
      <c r="J60" s="5"/>
      <c r="K60" s="6"/>
      <c r="L60" s="5"/>
      <c r="M60" s="6"/>
      <c r="N60" s="5"/>
      <c r="O60" s="6"/>
      <c r="P60" s="5"/>
      <c r="Q60" s="6"/>
      <c r="R60" s="5"/>
      <c r="S60" s="6"/>
      <c r="T60" s="5"/>
      <c r="U60" s="6"/>
      <c r="V60" s="5"/>
      <c r="W60" s="6"/>
      <c r="X60" s="5"/>
      <c r="Y60" s="6"/>
      <c r="Z60" s="5"/>
      <c r="AA60" s="6"/>
      <c r="AB60" s="5"/>
      <c r="AC60" s="6"/>
      <c r="AD60" s="5"/>
      <c r="AE60" s="6"/>
      <c r="AF60" s="5"/>
      <c r="AI60" s="5"/>
    </row>
    <row r="61" spans="1:35" x14ac:dyDescent="0.25">
      <c r="A61" s="2"/>
      <c r="B61" s="2"/>
      <c r="C61" s="2"/>
      <c r="D61" s="2"/>
      <c r="E61" s="2"/>
      <c r="F61" s="2"/>
      <c r="G61" s="2" t="s">
        <v>63</v>
      </c>
      <c r="H61" s="5">
        <v>0</v>
      </c>
      <c r="I61" s="6"/>
      <c r="J61" s="5">
        <v>0</v>
      </c>
      <c r="K61" s="6"/>
      <c r="L61" s="5">
        <v>0</v>
      </c>
      <c r="M61" s="6"/>
      <c r="N61" s="5">
        <v>0</v>
      </c>
      <c r="O61" s="6"/>
      <c r="P61" s="5">
        <v>0</v>
      </c>
      <c r="Q61" s="6"/>
      <c r="R61" s="5">
        <v>4000</v>
      </c>
      <c r="S61" s="6"/>
      <c r="T61" s="5">
        <v>4000</v>
      </c>
      <c r="U61" s="6"/>
      <c r="V61" s="5">
        <v>4000</v>
      </c>
      <c r="W61" s="6"/>
      <c r="X61" s="5">
        <v>3000</v>
      </c>
      <c r="Y61" s="6"/>
      <c r="Z61" s="5">
        <v>0</v>
      </c>
      <c r="AA61" s="6"/>
      <c r="AB61" s="5">
        <v>0</v>
      </c>
      <c r="AC61" s="6"/>
      <c r="AD61" s="5">
        <v>0</v>
      </c>
      <c r="AE61" s="6"/>
      <c r="AF61" s="5">
        <f t="shared" ref="AF61:AF71" si="41">ROUND(SUM(H61:AD61),5)</f>
        <v>15000</v>
      </c>
      <c r="AI61" s="5">
        <v>13114</v>
      </c>
    </row>
    <row r="62" spans="1:35" ht="15.75" thickBot="1" x14ac:dyDescent="0.3">
      <c r="A62" s="2"/>
      <c r="B62" s="2"/>
      <c r="C62" s="2"/>
      <c r="D62" s="2"/>
      <c r="E62" s="2"/>
      <c r="F62" s="2"/>
      <c r="G62" s="2" t="s">
        <v>64</v>
      </c>
      <c r="H62" s="7">
        <v>1000</v>
      </c>
      <c r="I62" s="6"/>
      <c r="J62" s="7">
        <v>1000</v>
      </c>
      <c r="K62" s="6"/>
      <c r="L62" s="7">
        <v>1000</v>
      </c>
      <c r="M62" s="6"/>
      <c r="N62" s="7">
        <v>1000</v>
      </c>
      <c r="O62" s="6"/>
      <c r="P62" s="7"/>
      <c r="Q62" s="6"/>
      <c r="R62" s="7"/>
      <c r="S62" s="6"/>
      <c r="T62" s="7"/>
      <c r="U62" s="6"/>
      <c r="V62" s="7"/>
      <c r="W62" s="6"/>
      <c r="X62" s="7"/>
      <c r="Y62" s="6"/>
      <c r="Z62" s="7"/>
      <c r="AA62" s="6"/>
      <c r="AB62" s="7"/>
      <c r="AC62" s="6"/>
      <c r="AD62" s="7"/>
      <c r="AE62" s="6"/>
      <c r="AF62" s="7">
        <f t="shared" si="41"/>
        <v>4000</v>
      </c>
      <c r="AI62" s="7">
        <v>4188</v>
      </c>
    </row>
    <row r="63" spans="1:35" x14ac:dyDescent="0.25">
      <c r="A63" s="2"/>
      <c r="B63" s="2"/>
      <c r="C63" s="2"/>
      <c r="D63" s="2"/>
      <c r="E63" s="2"/>
      <c r="F63" s="2" t="s">
        <v>65</v>
      </c>
      <c r="G63" s="2"/>
      <c r="H63" s="5">
        <f>ROUND(SUM(H60:H62),5)</f>
        <v>1000</v>
      </c>
      <c r="I63" s="6"/>
      <c r="J63" s="5">
        <f>ROUND(SUM(J60:J62),5)</f>
        <v>1000</v>
      </c>
      <c r="K63" s="6"/>
      <c r="L63" s="5">
        <f>ROUND(SUM(L60:L62),5)</f>
        <v>1000</v>
      </c>
      <c r="M63" s="6"/>
      <c r="N63" s="5">
        <f>ROUND(SUM(N60:N62),5)</f>
        <v>1000</v>
      </c>
      <c r="O63" s="6"/>
      <c r="P63" s="5">
        <v>0</v>
      </c>
      <c r="Q63" s="6"/>
      <c r="R63" s="5">
        <f>ROUND(SUM(R60:R62),5)</f>
        <v>4000</v>
      </c>
      <c r="S63" s="6"/>
      <c r="T63" s="5">
        <f>ROUND(SUM(T60:T62),5)</f>
        <v>4000</v>
      </c>
      <c r="U63" s="6"/>
      <c r="V63" s="5">
        <f>ROUND(SUM(V60:V62),5)</f>
        <v>4000</v>
      </c>
      <c r="W63" s="6"/>
      <c r="X63" s="5">
        <f>ROUND(SUM(X60:X62),5)</f>
        <v>3000</v>
      </c>
      <c r="Y63" s="6"/>
      <c r="Z63" s="5">
        <v>0</v>
      </c>
      <c r="AA63" s="6"/>
      <c r="AB63" s="5">
        <v>0</v>
      </c>
      <c r="AC63" s="6"/>
      <c r="AD63" s="5">
        <v>0</v>
      </c>
      <c r="AE63" s="6"/>
      <c r="AF63" s="5">
        <f t="shared" si="41"/>
        <v>19000</v>
      </c>
      <c r="AI63" s="5">
        <v>4319.38</v>
      </c>
    </row>
    <row r="64" spans="1:35" ht="30" customHeight="1" x14ac:dyDescent="0.25">
      <c r="A64" s="2"/>
      <c r="B64" s="2"/>
      <c r="C64" s="2"/>
      <c r="D64" s="2"/>
      <c r="E64" s="2"/>
      <c r="F64" s="2" t="s">
        <v>66</v>
      </c>
      <c r="G64" s="2"/>
      <c r="H64" s="5">
        <v>500</v>
      </c>
      <c r="I64" s="6"/>
      <c r="J64" s="5">
        <v>500</v>
      </c>
      <c r="K64" s="6"/>
      <c r="L64" s="5">
        <v>500</v>
      </c>
      <c r="M64" s="6"/>
      <c r="N64" s="5">
        <v>500</v>
      </c>
      <c r="O64" s="6"/>
      <c r="P64" s="5">
        <v>500</v>
      </c>
      <c r="Q64" s="6"/>
      <c r="R64" s="5">
        <v>500</v>
      </c>
      <c r="S64" s="6"/>
      <c r="T64" s="5">
        <v>500</v>
      </c>
      <c r="U64" s="6"/>
      <c r="V64" s="5">
        <v>500</v>
      </c>
      <c r="W64" s="6"/>
      <c r="X64" s="5">
        <v>500</v>
      </c>
      <c r="Y64" s="6"/>
      <c r="Z64" s="5">
        <v>500</v>
      </c>
      <c r="AA64" s="6"/>
      <c r="AB64" s="5">
        <v>500</v>
      </c>
      <c r="AC64" s="6"/>
      <c r="AD64" s="5">
        <v>500</v>
      </c>
      <c r="AE64" s="6"/>
      <c r="AF64" s="5">
        <f t="shared" si="41"/>
        <v>6000</v>
      </c>
      <c r="AI64" s="5">
        <v>8815.11</v>
      </c>
    </row>
    <row r="65" spans="1:35" x14ac:dyDescent="0.25">
      <c r="A65" s="2"/>
      <c r="B65" s="2"/>
      <c r="C65" s="2"/>
      <c r="D65" s="2"/>
      <c r="E65" s="2"/>
      <c r="F65" s="2" t="s">
        <v>67</v>
      </c>
      <c r="G65" s="2"/>
      <c r="H65" s="5">
        <v>0</v>
      </c>
      <c r="I65" s="6"/>
      <c r="J65" s="5">
        <v>0</v>
      </c>
      <c r="K65" s="6"/>
      <c r="L65" s="5">
        <v>125</v>
      </c>
      <c r="M65" s="6"/>
      <c r="N65" s="5">
        <v>0</v>
      </c>
      <c r="O65" s="6"/>
      <c r="P65" s="5">
        <v>0</v>
      </c>
      <c r="Q65" s="6"/>
      <c r="R65" s="5">
        <v>125</v>
      </c>
      <c r="S65" s="6"/>
      <c r="T65" s="5">
        <v>0</v>
      </c>
      <c r="U65" s="6"/>
      <c r="V65" s="5">
        <v>0</v>
      </c>
      <c r="W65" s="6"/>
      <c r="X65" s="5">
        <v>4250</v>
      </c>
      <c r="Y65" s="6"/>
      <c r="Z65" s="5">
        <v>125</v>
      </c>
      <c r="AA65" s="6"/>
      <c r="AB65" s="5">
        <v>0</v>
      </c>
      <c r="AC65" s="6"/>
      <c r="AD65" s="5">
        <v>125</v>
      </c>
      <c r="AE65" s="6"/>
      <c r="AF65" s="5">
        <f t="shared" si="41"/>
        <v>4750</v>
      </c>
      <c r="AI65" s="5">
        <v>4769.57</v>
      </c>
    </row>
    <row r="66" spans="1:35" x14ac:dyDescent="0.25">
      <c r="A66" s="2"/>
      <c r="B66" s="2"/>
      <c r="C66" s="2"/>
      <c r="D66" s="2"/>
      <c r="E66" s="2"/>
      <c r="F66" s="2" t="s">
        <v>68</v>
      </c>
      <c r="G66" s="2"/>
      <c r="H66" s="5">
        <v>1000</v>
      </c>
      <c r="I66" s="6"/>
      <c r="J66" s="5">
        <v>1000</v>
      </c>
      <c r="K66" s="6"/>
      <c r="L66" s="5">
        <v>1000</v>
      </c>
      <c r="M66" s="6"/>
      <c r="N66" s="5">
        <v>1000</v>
      </c>
      <c r="O66" s="6"/>
      <c r="P66" s="5">
        <v>1000</v>
      </c>
      <c r="Q66" s="6"/>
      <c r="R66" s="5">
        <v>1000</v>
      </c>
      <c r="S66" s="6"/>
      <c r="T66" s="5">
        <v>1000</v>
      </c>
      <c r="U66" s="6"/>
      <c r="V66" s="5">
        <v>1000</v>
      </c>
      <c r="W66" s="6"/>
      <c r="X66" s="5">
        <v>1000</v>
      </c>
      <c r="Y66" s="6"/>
      <c r="Z66" s="5">
        <v>1000</v>
      </c>
      <c r="AA66" s="6"/>
      <c r="AB66" s="5">
        <v>1000</v>
      </c>
      <c r="AC66" s="6"/>
      <c r="AD66" s="5">
        <v>1000</v>
      </c>
      <c r="AE66" s="6"/>
      <c r="AF66" s="5">
        <f t="shared" si="41"/>
        <v>12000</v>
      </c>
      <c r="AI66" s="5">
        <v>7675.77</v>
      </c>
    </row>
    <row r="67" spans="1:35" x14ac:dyDescent="0.25">
      <c r="A67" s="2"/>
      <c r="B67" s="2"/>
      <c r="C67" s="2"/>
      <c r="D67" s="2"/>
      <c r="E67" s="2"/>
      <c r="F67" s="2" t="s">
        <v>69</v>
      </c>
      <c r="G67" s="2"/>
      <c r="H67" s="5">
        <v>125</v>
      </c>
      <c r="I67" s="6"/>
      <c r="J67" s="5">
        <v>125</v>
      </c>
      <c r="K67" s="6"/>
      <c r="L67" s="5">
        <v>125</v>
      </c>
      <c r="M67" s="6"/>
      <c r="N67" s="5">
        <v>125</v>
      </c>
      <c r="O67" s="6"/>
      <c r="P67" s="5">
        <v>125</v>
      </c>
      <c r="Q67" s="6"/>
      <c r="R67" s="5">
        <v>125</v>
      </c>
      <c r="S67" s="6"/>
      <c r="T67" s="5">
        <v>125</v>
      </c>
      <c r="U67" s="6"/>
      <c r="V67" s="5">
        <v>125</v>
      </c>
      <c r="W67" s="6"/>
      <c r="X67" s="5">
        <v>125</v>
      </c>
      <c r="Y67" s="6"/>
      <c r="Z67" s="5">
        <v>125</v>
      </c>
      <c r="AA67" s="6"/>
      <c r="AB67" s="5">
        <v>6125</v>
      </c>
      <c r="AC67" s="6"/>
      <c r="AD67" s="5">
        <v>125</v>
      </c>
      <c r="AE67" s="6"/>
      <c r="AF67" s="5">
        <f t="shared" si="41"/>
        <v>7500</v>
      </c>
      <c r="AI67" s="5">
        <v>1058.25</v>
      </c>
    </row>
    <row r="68" spans="1:35" x14ac:dyDescent="0.25">
      <c r="A68" s="2"/>
      <c r="B68" s="2"/>
      <c r="C68" s="2"/>
      <c r="D68" s="2"/>
      <c r="E68" s="2"/>
      <c r="F68" s="2" t="s">
        <v>70</v>
      </c>
      <c r="G68" s="2"/>
      <c r="H68" s="5">
        <v>925</v>
      </c>
      <c r="I68" s="6"/>
      <c r="J68" s="5">
        <v>925</v>
      </c>
      <c r="K68" s="6"/>
      <c r="L68" s="5">
        <v>925</v>
      </c>
      <c r="M68" s="6"/>
      <c r="N68" s="5">
        <v>925</v>
      </c>
      <c r="O68" s="6"/>
      <c r="P68" s="5">
        <v>925</v>
      </c>
      <c r="Q68" s="6"/>
      <c r="R68" s="5">
        <v>925</v>
      </c>
      <c r="S68" s="6"/>
      <c r="T68" s="5">
        <v>925</v>
      </c>
      <c r="U68" s="6"/>
      <c r="V68" s="5">
        <v>925</v>
      </c>
      <c r="W68" s="6"/>
      <c r="X68" s="5">
        <v>925</v>
      </c>
      <c r="Y68" s="6"/>
      <c r="Z68" s="5">
        <v>925</v>
      </c>
      <c r="AA68" s="6"/>
      <c r="AB68" s="5">
        <v>925</v>
      </c>
      <c r="AC68" s="6"/>
      <c r="AD68" s="5">
        <v>925</v>
      </c>
      <c r="AE68" s="6"/>
      <c r="AF68" s="5">
        <f t="shared" si="41"/>
        <v>11100</v>
      </c>
      <c r="AI68" s="5">
        <v>7083.45</v>
      </c>
    </row>
    <row r="69" spans="1:35" x14ac:dyDescent="0.25">
      <c r="A69" s="2"/>
      <c r="B69" s="2"/>
      <c r="C69" s="2"/>
      <c r="D69" s="2"/>
      <c r="E69" s="2"/>
      <c r="F69" s="2" t="s">
        <v>71</v>
      </c>
      <c r="G69" s="2"/>
      <c r="H69" s="5">
        <v>850</v>
      </c>
      <c r="I69" s="6"/>
      <c r="J69" s="5">
        <v>850</v>
      </c>
      <c r="K69" s="6"/>
      <c r="L69" s="5">
        <v>850</v>
      </c>
      <c r="M69" s="6"/>
      <c r="N69" s="5">
        <v>850</v>
      </c>
      <c r="O69" s="6"/>
      <c r="P69" s="5">
        <v>850</v>
      </c>
      <c r="Q69" s="6"/>
      <c r="R69" s="5">
        <v>850</v>
      </c>
      <c r="S69" s="6"/>
      <c r="T69" s="5">
        <v>850</v>
      </c>
      <c r="U69" s="6"/>
      <c r="V69" s="5">
        <v>850</v>
      </c>
      <c r="W69" s="6"/>
      <c r="X69" s="5">
        <v>850</v>
      </c>
      <c r="Y69" s="6"/>
      <c r="Z69" s="5">
        <v>850</v>
      </c>
      <c r="AA69" s="6"/>
      <c r="AB69" s="5">
        <v>850</v>
      </c>
      <c r="AC69" s="6"/>
      <c r="AD69" s="5">
        <v>850</v>
      </c>
      <c r="AE69" s="6"/>
      <c r="AF69" s="5">
        <f t="shared" si="41"/>
        <v>10200</v>
      </c>
      <c r="AI69" s="5">
        <v>9473.4500000000007</v>
      </c>
    </row>
    <row r="70" spans="1:35" ht="15.75" thickBot="1" x14ac:dyDescent="0.3">
      <c r="A70" s="2"/>
      <c r="B70" s="2"/>
      <c r="C70" s="2"/>
      <c r="D70" s="2"/>
      <c r="E70" s="2"/>
      <c r="F70" s="2" t="s">
        <v>72</v>
      </c>
      <c r="G70" s="2"/>
      <c r="H70" s="7">
        <v>1666</v>
      </c>
      <c r="I70" s="6"/>
      <c r="J70" s="7">
        <v>1666</v>
      </c>
      <c r="K70" s="6"/>
      <c r="L70" s="7">
        <v>1666</v>
      </c>
      <c r="M70" s="6"/>
      <c r="N70" s="7">
        <v>1666</v>
      </c>
      <c r="O70" s="6"/>
      <c r="P70" s="7">
        <v>1666</v>
      </c>
      <c r="Q70" s="6"/>
      <c r="R70" s="7">
        <v>1666</v>
      </c>
      <c r="S70" s="6"/>
      <c r="T70" s="7">
        <v>1666</v>
      </c>
      <c r="U70" s="6"/>
      <c r="V70" s="7">
        <v>1666</v>
      </c>
      <c r="W70" s="6"/>
      <c r="X70" s="7">
        <v>1666</v>
      </c>
      <c r="Y70" s="6"/>
      <c r="Z70" s="7">
        <v>1666</v>
      </c>
      <c r="AA70" s="6"/>
      <c r="AB70" s="7">
        <v>1666</v>
      </c>
      <c r="AC70" s="6"/>
      <c r="AD70" s="7">
        <v>1666</v>
      </c>
      <c r="AE70" s="6"/>
      <c r="AF70" s="7">
        <f t="shared" si="41"/>
        <v>19992</v>
      </c>
      <c r="AI70" s="7">
        <v>19861.75</v>
      </c>
    </row>
    <row r="71" spans="1:35" x14ac:dyDescent="0.25">
      <c r="A71" s="2"/>
      <c r="B71" s="2"/>
      <c r="C71" s="2"/>
      <c r="D71" s="2"/>
      <c r="E71" s="2" t="s">
        <v>73</v>
      </c>
      <c r="F71" s="2"/>
      <c r="G71" s="2"/>
      <c r="H71" s="5">
        <f>ROUND(SUM(H49:H50)+SUM(H55:H59)+SUM(H63:H70),5)</f>
        <v>12566</v>
      </c>
      <c r="I71" s="6"/>
      <c r="J71" s="5">
        <f>ROUND(SUM(J49:J50)+SUM(J55:J59)+SUM(J63:J70),5)</f>
        <v>12566</v>
      </c>
      <c r="K71" s="6"/>
      <c r="L71" s="5">
        <f>ROUND(SUM(L49:L50)+SUM(L55:L59)+SUM(L63:L70),5)</f>
        <v>12691</v>
      </c>
      <c r="M71" s="6"/>
      <c r="N71" s="5">
        <f>ROUND(SUM(N49:N50)+SUM(N55:N59)+SUM(N63:N70),5)</f>
        <v>12566</v>
      </c>
      <c r="O71" s="6"/>
      <c r="P71" s="5">
        <f>ROUND(SUM(P49:P50)+SUM(P55:P59)+SUM(P63:P70),5)</f>
        <v>16916</v>
      </c>
      <c r="Q71" s="6"/>
      <c r="R71" s="5">
        <f>ROUND(SUM(R49:R50)+SUM(R55:R59)+SUM(R63:R70),5)</f>
        <v>15691</v>
      </c>
      <c r="S71" s="6"/>
      <c r="T71" s="5">
        <f>ROUND(SUM(T49:T50)+SUM(T55:T59)+SUM(T63:T70),5)</f>
        <v>15916</v>
      </c>
      <c r="U71" s="6"/>
      <c r="V71" s="5">
        <f>ROUND(SUM(V49:V50)+SUM(V55:V59)+SUM(V63:V70),5)</f>
        <v>18066</v>
      </c>
      <c r="W71" s="6"/>
      <c r="X71" s="5">
        <f>ROUND(SUM(X49:X50)+SUM(X55:X59)+SUM(X63:X70),5)</f>
        <v>19066</v>
      </c>
      <c r="Y71" s="6"/>
      <c r="Z71" s="5">
        <f>ROUND(SUM(Z49:Z50)+SUM(Z55:Z59)+SUM(Z63:Z70),5)</f>
        <v>11941</v>
      </c>
      <c r="AA71" s="6"/>
      <c r="AB71" s="5">
        <f>ROUND(SUM(AB49:AB50)+SUM(AB55:AB59)+SUM(AB63:AB70),5)</f>
        <v>17566</v>
      </c>
      <c r="AC71" s="6"/>
      <c r="AD71" s="5">
        <f>ROUND(SUM(AD49:AD50)+SUM(AD55:AD59)+SUM(AD63:AD70),5)</f>
        <v>11691</v>
      </c>
      <c r="AE71" s="6"/>
      <c r="AF71" s="5">
        <f t="shared" si="41"/>
        <v>177242</v>
      </c>
      <c r="AI71" s="5">
        <v>120315.52</v>
      </c>
    </row>
    <row r="72" spans="1:35" ht="30" customHeight="1" x14ac:dyDescent="0.25">
      <c r="A72" s="2"/>
      <c r="B72" s="2"/>
      <c r="C72" s="2"/>
      <c r="D72" s="2"/>
      <c r="E72" s="2" t="s">
        <v>74</v>
      </c>
      <c r="F72" s="2"/>
      <c r="G72" s="2"/>
      <c r="H72" s="5"/>
      <c r="I72" s="6"/>
      <c r="J72" s="5"/>
      <c r="K72" s="6"/>
      <c r="L72" s="5"/>
      <c r="M72" s="6"/>
      <c r="N72" s="5"/>
      <c r="O72" s="6"/>
      <c r="P72" s="5"/>
      <c r="Q72" s="6"/>
      <c r="R72" s="5"/>
      <c r="S72" s="6"/>
      <c r="T72" s="5"/>
      <c r="U72" s="6"/>
      <c r="V72" s="5"/>
      <c r="W72" s="6"/>
      <c r="X72" s="5"/>
      <c r="Y72" s="6"/>
      <c r="Z72" s="5"/>
      <c r="AA72" s="6"/>
      <c r="AB72" s="5"/>
      <c r="AC72" s="6"/>
      <c r="AD72" s="5"/>
      <c r="AE72" s="6"/>
      <c r="AF72" s="5"/>
      <c r="AI72" s="5"/>
    </row>
    <row r="73" spans="1:35" x14ac:dyDescent="0.25">
      <c r="A73" s="2"/>
      <c r="B73" s="2"/>
      <c r="C73" s="2"/>
      <c r="D73" s="2"/>
      <c r="E73" s="2"/>
      <c r="F73" s="2" t="s">
        <v>75</v>
      </c>
      <c r="G73" s="2"/>
      <c r="H73" s="5">
        <f>+Utilities!H3/Utilities!$AF3*Utilities!$AH3</f>
        <v>7415.364938259534</v>
      </c>
      <c r="I73" s="6"/>
      <c r="J73" s="5">
        <f>+Utilities!J3/Utilities!$AF3*Utilities!$AH3</f>
        <v>7102.4983325728008</v>
      </c>
      <c r="K73" s="6"/>
      <c r="L73" s="5">
        <f>+Utilities!L3/Utilities!$AF3*Utilities!$AH3</f>
        <v>6483.0990787507635</v>
      </c>
      <c r="M73" s="6"/>
      <c r="N73" s="5">
        <f>+Utilities!N3/Utilities!$AF3*Utilities!$AH3</f>
        <v>6537.1797472102089</v>
      </c>
      <c r="O73" s="6"/>
      <c r="P73" s="5">
        <f>+Utilities!P3/Utilities!$AF3*Utilities!$AH3</f>
        <v>4518.1406604096546</v>
      </c>
      <c r="Q73" s="6"/>
      <c r="R73" s="5">
        <f>+Utilities!R3/Utilities!$AF3*Utilities!$AH3</f>
        <v>5348.6512343767536</v>
      </c>
      <c r="S73" s="6"/>
      <c r="T73" s="5">
        <f>+Utilities!T3/Utilities!$AF3*Utilities!$AH3</f>
        <v>8025.1757132516832</v>
      </c>
      <c r="U73" s="6"/>
      <c r="V73" s="5">
        <f>+Utilities!V3/Utilities!$AF3*Utilities!$AH3</f>
        <v>6879.7284108859203</v>
      </c>
      <c r="W73" s="6"/>
      <c r="X73" s="5">
        <f>+Utilities!X3/Utilities!$AF3*Utilities!$AH3</f>
        <v>5743.5606138109524</v>
      </c>
      <c r="Y73" s="6"/>
      <c r="Z73" s="5">
        <f>+Utilities!Z3/Utilities!$AF3*Utilities!$AH3</f>
        <v>4861.8737226518942</v>
      </c>
      <c r="AA73" s="6"/>
      <c r="AB73" s="5">
        <f>+Utilities!AB3/Utilities!$AF3*Utilities!$AH3</f>
        <v>4669.3626095603004</v>
      </c>
      <c r="AC73" s="6"/>
      <c r="AD73" s="5">
        <f>+Utilities!AD3/Utilities!$AF3*Utilities!$AH3</f>
        <v>7415.364938259534</v>
      </c>
      <c r="AE73" s="6"/>
      <c r="AF73" s="5">
        <f t="shared" ref="AF73:AF78" si="42">ROUND(SUM(H73:AD73),5)</f>
        <v>75000</v>
      </c>
      <c r="AI73" s="5">
        <v>72821.77</v>
      </c>
    </row>
    <row r="74" spans="1:35" x14ac:dyDescent="0.25">
      <c r="A74" s="2"/>
      <c r="B74" s="2"/>
      <c r="C74" s="2"/>
      <c r="D74" s="2"/>
      <c r="E74" s="2"/>
      <c r="F74" s="2" t="s">
        <v>76</v>
      </c>
      <c r="G74" s="2"/>
      <c r="H74" s="5">
        <f>+Utilities!H4/Utilities!$AF4*Utilities!$AH4</f>
        <v>12086.738138920011</v>
      </c>
      <c r="I74" s="6"/>
      <c r="J74" s="5">
        <f>+Utilities!J4/Utilities!$AF4*Utilities!$AH4</f>
        <v>11694.279313168792</v>
      </c>
      <c r="L74" s="5">
        <f>+Utilities!L4/Utilities!$AF4*Utilities!$AH4</f>
        <v>9158.8977434404042</v>
      </c>
      <c r="M74" s="6"/>
      <c r="N74" s="5">
        <f>+Utilities!N4/Utilities!$AF4*Utilities!$AH4</f>
        <v>6889.0219968442607</v>
      </c>
      <c r="O74" s="6"/>
      <c r="P74" s="5">
        <f>+Utilities!P4/Utilities!$AF4*Utilities!$AH4</f>
        <v>5699.2293808888044</v>
      </c>
      <c r="Q74" s="6"/>
      <c r="R74" s="5">
        <f>+Utilities!R4/Utilities!$AF4*Utilities!$AH4</f>
        <v>4963.8452697429793</v>
      </c>
      <c r="S74" s="6"/>
      <c r="T74" s="5">
        <f>+Utilities!T4/Utilities!$AF4*Utilities!$AH4</f>
        <v>4992.6785269068196</v>
      </c>
      <c r="U74" s="6"/>
      <c r="V74" s="5">
        <f>+Utilities!V4/Utilities!$AF4*Utilities!$AH4</f>
        <v>4346.323773952312</v>
      </c>
      <c r="W74" s="6"/>
      <c r="X74" s="5">
        <f>+Utilities!X4/Utilities!$AF4*Utilities!$AH4</f>
        <v>4614.4498860963004</v>
      </c>
      <c r="Y74" s="6"/>
      <c r="Z74" s="5">
        <f>+Utilities!Z4/Utilities!$AF4*Utilities!$AH4</f>
        <v>6026.7050391487828</v>
      </c>
      <c r="AA74" s="6"/>
      <c r="AB74" s="5">
        <f>+Utilities!AB4/Utilities!$AF4*Utilities!$AH4</f>
        <v>9434.1893382280432</v>
      </c>
      <c r="AC74" s="6"/>
      <c r="AD74" s="5">
        <f>+Utilities!AD4/Utilities!$AF4*Utilities!$AH4</f>
        <v>12093.64159266249</v>
      </c>
      <c r="AE74" s="6"/>
      <c r="AF74" s="5">
        <f t="shared" si="42"/>
        <v>92000</v>
      </c>
      <c r="AI74" s="5">
        <v>91287.64</v>
      </c>
    </row>
    <row r="75" spans="1:35" ht="15.75" thickBot="1" x14ac:dyDescent="0.3">
      <c r="A75" s="2"/>
      <c r="B75" s="2"/>
      <c r="C75" s="2"/>
      <c r="D75" s="2"/>
      <c r="E75" s="2"/>
      <c r="F75" s="2" t="s">
        <v>77</v>
      </c>
      <c r="G75" s="2"/>
      <c r="H75" s="5">
        <f>+Utilities!H5/Utilities!$AF5*Utilities!$AH5</f>
        <v>7662.7972132931427</v>
      </c>
      <c r="I75" s="6"/>
      <c r="J75" s="5">
        <f>+Utilities!J5/Utilities!$AF5*Utilities!$AH5</f>
        <v>6536.2503283260994</v>
      </c>
      <c r="L75" s="5">
        <f>+Utilities!L5/Utilities!$AF5*Utilities!$AH5</f>
        <v>8198.0344210829135</v>
      </c>
      <c r="M75" s="6"/>
      <c r="N75" s="5">
        <f>+Utilities!N5/Utilities!$AF5*Utilities!$AH5</f>
        <v>6183.1506172530662</v>
      </c>
      <c r="O75" s="6"/>
      <c r="P75" s="5">
        <f>+Utilities!P5/Utilities!$AF5*Utilities!$AH5</f>
        <v>5942.4641342822479</v>
      </c>
      <c r="Q75" s="6"/>
      <c r="R75" s="5">
        <f>+Utilities!R5/Utilities!$AF5*Utilities!$AH5</f>
        <v>6873.1185351027507</v>
      </c>
      <c r="S75" s="6"/>
      <c r="T75" s="5">
        <f>+Utilities!T5/Utilities!$AF5*Utilities!$AH5</f>
        <v>6985.4388938224665</v>
      </c>
      <c r="U75" s="6"/>
      <c r="V75" s="5">
        <f>+Utilities!V5/Utilities!$AF5*Utilities!$AH5</f>
        <v>7017.5304248852426</v>
      </c>
      <c r="W75" s="6"/>
      <c r="X75" s="5">
        <f>+Utilities!X5/Utilities!$AF5*Utilities!$AH5</f>
        <v>6568.2489900063792</v>
      </c>
      <c r="Y75" s="6"/>
      <c r="Z75" s="5">
        <f>+Utilities!Z5/Utilities!$AF5*Utilities!$AH5</f>
        <v>5974.555665345024</v>
      </c>
      <c r="AA75" s="6"/>
      <c r="AB75" s="5">
        <f>+Utilities!AB5/Utilities!$AF5*Utilities!$AH5</f>
        <v>7335.2365824067247</v>
      </c>
      <c r="AC75" s="6"/>
      <c r="AD75" s="5">
        <f>+Utilities!AD5/Utilities!$AF5*Utilities!$AH5</f>
        <v>7223.1741941939435</v>
      </c>
      <c r="AE75" s="6"/>
      <c r="AF75" s="8">
        <f t="shared" si="42"/>
        <v>82500</v>
      </c>
      <c r="AI75" s="8">
        <v>79951</v>
      </c>
    </row>
    <row r="76" spans="1:35" ht="15.75" thickBot="1" x14ac:dyDescent="0.3">
      <c r="A76" s="2"/>
      <c r="B76" s="2"/>
      <c r="C76" s="2"/>
      <c r="D76" s="2"/>
      <c r="E76" s="2" t="s">
        <v>78</v>
      </c>
      <c r="F76" s="2"/>
      <c r="G76" s="2"/>
      <c r="H76" s="9">
        <f>ROUND(SUM(H72:H75),5)</f>
        <v>27164.900290000001</v>
      </c>
      <c r="I76" s="6"/>
      <c r="J76" s="9">
        <f>ROUND(SUM(J72:J75),5)</f>
        <v>25333.027969999999</v>
      </c>
      <c r="K76" s="6"/>
      <c r="L76" s="9">
        <f>ROUND(SUM(L72:L75),5)</f>
        <v>23840.03124</v>
      </c>
      <c r="M76" s="6"/>
      <c r="N76" s="9">
        <f>ROUND(SUM(N72:N75),5)</f>
        <v>19609.352360000001</v>
      </c>
      <c r="O76" s="6"/>
      <c r="P76" s="9">
        <f>ROUND(SUM(P72:P75),5)</f>
        <v>16159.83418</v>
      </c>
      <c r="Q76" s="6"/>
      <c r="R76" s="9">
        <f>ROUND(SUM(R72:R75),5)</f>
        <v>17185.615040000001</v>
      </c>
      <c r="S76" s="6"/>
      <c r="T76" s="9">
        <f>ROUND(SUM(T72:T75),5)</f>
        <v>20003.293129999998</v>
      </c>
      <c r="U76" s="6"/>
      <c r="V76" s="9">
        <f>ROUND(SUM(V72:V75),5)</f>
        <v>18243.582610000001</v>
      </c>
      <c r="W76" s="6"/>
      <c r="X76" s="9">
        <f>ROUND(SUM(X72:X75),5)</f>
        <v>16926.25949</v>
      </c>
      <c r="Y76" s="6"/>
      <c r="Z76" s="9">
        <f>ROUND(SUM(Z72:Z75),5)</f>
        <v>16863.134429999998</v>
      </c>
      <c r="AA76" s="6"/>
      <c r="AB76" s="9">
        <f>ROUND(SUM(AB72:AB75),5)</f>
        <v>21438.788530000002</v>
      </c>
      <c r="AC76" s="6"/>
      <c r="AD76" s="9">
        <f>ROUND(SUM(AD72:AD75),5)</f>
        <v>26732.18073</v>
      </c>
      <c r="AE76" s="6"/>
      <c r="AF76" s="9">
        <f t="shared" si="42"/>
        <v>249500</v>
      </c>
      <c r="AI76" s="9">
        <v>244060.41</v>
      </c>
    </row>
    <row r="77" spans="1:35" ht="30" customHeight="1" thickBot="1" x14ac:dyDescent="0.3">
      <c r="A77" s="2"/>
      <c r="B77" s="2"/>
      <c r="C77" s="2"/>
      <c r="D77" s="2" t="s">
        <v>79</v>
      </c>
      <c r="E77" s="2"/>
      <c r="F77" s="2"/>
      <c r="G77" s="2"/>
      <c r="H77" s="10">
        <f>ROUND(H34+H43+H48+H71+H76,5)</f>
        <v>71286.900290000005</v>
      </c>
      <c r="I77" s="6"/>
      <c r="J77" s="10">
        <f>ROUND(J34+J43+J48+J71+J76,5)</f>
        <v>69455.027969999996</v>
      </c>
      <c r="K77" s="6"/>
      <c r="L77" s="10">
        <f>ROUND(L34+L43+L48+L71+L76,5)</f>
        <v>68087.031239999997</v>
      </c>
      <c r="M77" s="6"/>
      <c r="N77" s="10">
        <f>ROUND(N34+N43+N48+N71+N76,5)</f>
        <v>63731.352359999997</v>
      </c>
      <c r="O77" s="6"/>
      <c r="P77" s="10">
        <f>ROUND(P34+P43+P48+P71+P76,5)</f>
        <v>64631.834179999998</v>
      </c>
      <c r="Q77" s="6"/>
      <c r="R77" s="10">
        <f>ROUND(R34+R43+R48+R71+R76,5)</f>
        <v>64432.615039999997</v>
      </c>
      <c r="S77" s="6"/>
      <c r="T77" s="10">
        <f>ROUND(T34+T43+T48+T71+T76,5)</f>
        <v>67475.293130000005</v>
      </c>
      <c r="U77" s="6"/>
      <c r="V77" s="10">
        <f>ROUND(V34+V43+V48+V71+V76,5)</f>
        <v>67865.582609999998</v>
      </c>
      <c r="W77" s="6"/>
      <c r="X77" s="10">
        <f>ROUND(X34+X43+X48+X71+X76,5)</f>
        <v>67548.259489999997</v>
      </c>
      <c r="Y77" s="6"/>
      <c r="Z77" s="10">
        <f>ROUND(Z34+Z43+Z48+Z71+Z76,5)</f>
        <v>60360.134429999998</v>
      </c>
      <c r="AA77" s="6"/>
      <c r="AB77" s="10">
        <f>ROUND(AB34+AB43+AB48+AB71+AB76,5)</f>
        <v>70560.788530000005</v>
      </c>
      <c r="AC77" s="6"/>
      <c r="AD77" s="10">
        <f>ROUND(AD34+AD43+AD48+AD71+AD76,5)</f>
        <v>69979.180729999993</v>
      </c>
      <c r="AE77" s="6"/>
      <c r="AF77" s="10">
        <f t="shared" si="42"/>
        <v>805414</v>
      </c>
      <c r="AI77" s="10">
        <v>717328.55</v>
      </c>
    </row>
    <row r="78" spans="1:35" ht="30" customHeight="1" x14ac:dyDescent="0.25">
      <c r="A78" s="2"/>
      <c r="B78" s="2" t="s">
        <v>80</v>
      </c>
      <c r="C78" s="2"/>
      <c r="D78" s="2"/>
      <c r="E78" s="2"/>
      <c r="F78" s="2"/>
      <c r="G78" s="2"/>
      <c r="H78" s="5">
        <f>ROUND(H3+H33-H77,5)</f>
        <v>-4298.9002899999996</v>
      </c>
      <c r="I78" s="6"/>
      <c r="J78" s="5">
        <f>ROUND(J3+J33-J77,5)</f>
        <v>-2467.0279700000001</v>
      </c>
      <c r="K78" s="6"/>
      <c r="L78" s="5">
        <f>ROUND(L3+L33-L77,5)</f>
        <v>-1099.03124</v>
      </c>
      <c r="M78" s="6"/>
      <c r="N78" s="5">
        <f>ROUND(N3+N33-N77,5)</f>
        <v>9256.6476399999992</v>
      </c>
      <c r="O78" s="6"/>
      <c r="P78" s="5">
        <f>ROUND(P3+P33-P77,5)</f>
        <v>2356.1658200000002</v>
      </c>
      <c r="Q78" s="6"/>
      <c r="R78" s="5">
        <f>ROUND(R3+R33-R77,5)</f>
        <v>2555.3849599999999</v>
      </c>
      <c r="S78" s="6"/>
      <c r="T78" s="5">
        <f>ROUND(T3+T33-T77,5)</f>
        <v>-487.29313000000002</v>
      </c>
      <c r="U78" s="6"/>
      <c r="V78" s="5">
        <f>ROUND(V3+V33-V77,5)</f>
        <v>-877.58261000000005</v>
      </c>
      <c r="W78" s="6"/>
      <c r="X78" s="5">
        <f>ROUND(X3+X33-X77,5)</f>
        <v>-560.25949000000003</v>
      </c>
      <c r="Y78" s="6"/>
      <c r="Z78" s="5">
        <f>ROUND(Z3+Z33-Z77,5)</f>
        <v>12627.86557</v>
      </c>
      <c r="AA78" s="6"/>
      <c r="AB78" s="5">
        <f>ROUND(AB3+AB33-AB77,5)</f>
        <v>-3572.7885299999998</v>
      </c>
      <c r="AC78" s="6"/>
      <c r="AD78" s="5">
        <f>ROUND(AD3+AD33-AD77,5)</f>
        <v>-2991.18073</v>
      </c>
      <c r="AE78" s="6"/>
      <c r="AF78" s="5">
        <f t="shared" si="42"/>
        <v>10442</v>
      </c>
      <c r="AI78" s="5">
        <v>100421.8</v>
      </c>
    </row>
    <row r="79" spans="1:35" ht="30" customHeight="1" x14ac:dyDescent="0.25">
      <c r="A79" s="2"/>
      <c r="B79" s="2" t="s">
        <v>81</v>
      </c>
      <c r="C79" s="2"/>
      <c r="D79" s="2"/>
      <c r="E79" s="2"/>
      <c r="F79" s="2"/>
      <c r="G79" s="2"/>
      <c r="H79" s="5"/>
      <c r="I79" s="6"/>
      <c r="J79" s="5"/>
      <c r="K79" s="6"/>
      <c r="L79" s="5"/>
      <c r="M79" s="6"/>
      <c r="N79" s="5"/>
      <c r="O79" s="6"/>
      <c r="P79" s="5"/>
      <c r="Q79" s="6"/>
      <c r="R79" s="5"/>
      <c r="S79" s="6"/>
      <c r="T79" s="5"/>
      <c r="U79" s="6"/>
      <c r="V79" s="5"/>
      <c r="W79" s="6"/>
      <c r="X79" s="5"/>
      <c r="Y79" s="6"/>
      <c r="Z79" s="5"/>
      <c r="AA79" s="6"/>
      <c r="AB79" s="5"/>
      <c r="AC79" s="6"/>
      <c r="AD79" s="5"/>
      <c r="AE79" s="6"/>
      <c r="AF79" s="5"/>
      <c r="AI79" s="5"/>
    </row>
    <row r="80" spans="1:35" x14ac:dyDescent="0.25">
      <c r="A80" s="2"/>
      <c r="B80" s="2"/>
      <c r="C80" s="2" t="s">
        <v>29</v>
      </c>
      <c r="D80" s="2"/>
      <c r="E80" s="2"/>
      <c r="F80" s="2"/>
      <c r="G80" s="2"/>
      <c r="H80" s="5"/>
      <c r="I80" s="6"/>
      <c r="J80" s="5"/>
      <c r="K80" s="6"/>
      <c r="L80" s="5"/>
      <c r="M80" s="6"/>
      <c r="N80" s="5"/>
      <c r="O80" s="6"/>
      <c r="P80" s="5"/>
      <c r="Q80" s="6"/>
      <c r="R80" s="5"/>
      <c r="S80" s="6"/>
      <c r="T80" s="5"/>
      <c r="U80" s="6"/>
      <c r="V80" s="5"/>
      <c r="W80" s="6"/>
      <c r="X80" s="5"/>
      <c r="Y80" s="6"/>
      <c r="Z80" s="5"/>
      <c r="AA80" s="6"/>
      <c r="AB80" s="5"/>
      <c r="AC80" s="6"/>
      <c r="AD80" s="5"/>
      <c r="AE80" s="6"/>
      <c r="AF80" s="5"/>
      <c r="AI80" s="5"/>
    </row>
    <row r="81" spans="1:35" x14ac:dyDescent="0.25">
      <c r="A81" s="2"/>
      <c r="B81" s="2"/>
      <c r="C81" s="2"/>
      <c r="D81" s="2" t="s">
        <v>82</v>
      </c>
      <c r="E81" s="2"/>
      <c r="F81" s="2"/>
      <c r="G81" s="2"/>
      <c r="H81" s="5"/>
      <c r="I81" s="6"/>
      <c r="J81" s="5"/>
      <c r="K81" s="6"/>
      <c r="L81" s="5"/>
      <c r="M81" s="6"/>
      <c r="N81" s="5"/>
      <c r="O81" s="6"/>
      <c r="P81" s="5"/>
      <c r="Q81" s="6"/>
      <c r="R81" s="5"/>
      <c r="S81" s="6"/>
      <c r="T81" s="5"/>
      <c r="U81" s="6"/>
      <c r="V81" s="5"/>
      <c r="W81" s="6"/>
      <c r="X81" s="5"/>
      <c r="Y81" s="6"/>
      <c r="Z81" s="5"/>
      <c r="AA81" s="6"/>
      <c r="AB81" s="5"/>
      <c r="AC81" s="6"/>
      <c r="AD81" s="5"/>
      <c r="AE81" s="6"/>
      <c r="AF81" s="5"/>
      <c r="AI81" s="5"/>
    </row>
    <row r="82" spans="1:35" x14ac:dyDescent="0.25">
      <c r="A82" s="2"/>
      <c r="B82" s="2"/>
      <c r="C82" s="2"/>
      <c r="D82" s="2"/>
      <c r="E82" s="2" t="s">
        <v>83</v>
      </c>
      <c r="F82" s="2"/>
      <c r="G82" s="2"/>
      <c r="H82" s="5"/>
      <c r="I82" s="6"/>
      <c r="J82" s="5"/>
      <c r="K82" s="6"/>
      <c r="L82" s="5"/>
      <c r="M82" s="6"/>
      <c r="N82" s="5"/>
      <c r="O82" s="6"/>
      <c r="P82" s="5"/>
      <c r="Q82" s="6"/>
      <c r="R82" s="5"/>
      <c r="S82" s="6"/>
      <c r="T82" s="5"/>
      <c r="U82" s="6"/>
      <c r="V82" s="5"/>
      <c r="W82" s="6"/>
      <c r="X82" s="5"/>
      <c r="Y82" s="6"/>
      <c r="Z82" s="5"/>
      <c r="AA82" s="6"/>
      <c r="AB82" s="5"/>
      <c r="AC82" s="6"/>
      <c r="AD82" s="5"/>
      <c r="AE82" s="6"/>
      <c r="AF82" s="5"/>
      <c r="AI82" s="5"/>
    </row>
    <row r="83" spans="1:35" x14ac:dyDescent="0.25">
      <c r="A83" s="2"/>
      <c r="B83" s="2"/>
      <c r="C83" s="2"/>
      <c r="D83" s="2"/>
      <c r="E83" s="2"/>
      <c r="F83" s="2" t="s">
        <v>26</v>
      </c>
      <c r="G83" s="2"/>
      <c r="H83" s="5">
        <f t="shared" ref="H83:H88" si="43">ROUND(+$AF83/12,0)</f>
        <v>209</v>
      </c>
      <c r="I83" s="6"/>
      <c r="J83" s="5">
        <f t="shared" ref="J83:J88" si="44">ROUND(+$AF83/12,0)</f>
        <v>209</v>
      </c>
      <c r="K83" s="6"/>
      <c r="L83" s="5">
        <f t="shared" ref="L83:L88" si="45">ROUND(+$AF83/12,0)</f>
        <v>209</v>
      </c>
      <c r="M83" s="6"/>
      <c r="N83" s="5">
        <f t="shared" ref="N83:N88" si="46">ROUND(+$AF83/12,0)</f>
        <v>209</v>
      </c>
      <c r="O83" s="6"/>
      <c r="P83" s="5">
        <f t="shared" ref="P83:P88" si="47">ROUND(+$AF83/12,0)</f>
        <v>209</v>
      </c>
      <c r="Q83" s="6"/>
      <c r="R83" s="5">
        <f t="shared" ref="R83:R88" si="48">ROUND(+$AF83/12,0)</f>
        <v>209</v>
      </c>
      <c r="S83" s="6"/>
      <c r="T83" s="5">
        <f t="shared" ref="T83:T88" si="49">ROUND(+$AF83/12,0)</f>
        <v>209</v>
      </c>
      <c r="U83" s="6"/>
      <c r="V83" s="5">
        <f t="shared" ref="V83:V88" si="50">ROUND(+$AF83/12,0)</f>
        <v>209</v>
      </c>
      <c r="W83" s="6"/>
      <c r="X83" s="5">
        <f t="shared" ref="X83:X88" si="51">ROUND(+$AF83/12,0)</f>
        <v>209</v>
      </c>
      <c r="Y83" s="6"/>
      <c r="Z83" s="5">
        <f t="shared" ref="Z83:Z88" si="52">ROUND(+$AF83/12,0)</f>
        <v>209</v>
      </c>
      <c r="AA83" s="6"/>
      <c r="AB83" s="5">
        <f t="shared" ref="AB83:AB88" si="53">ROUND(+$AF83/12,0)</f>
        <v>209</v>
      </c>
      <c r="AC83" s="6"/>
      <c r="AD83" s="5">
        <f t="shared" ref="AD83:AD88" si="54">ROUND(+$AF83/12,0)</f>
        <v>209</v>
      </c>
      <c r="AE83" s="6"/>
      <c r="AF83" s="5">
        <f>ROUND(+Assessments!H21*0.025,0)</f>
        <v>2502</v>
      </c>
      <c r="AI83" s="5">
        <v>2564.92</v>
      </c>
    </row>
    <row r="84" spans="1:35" x14ac:dyDescent="0.25">
      <c r="A84" s="2"/>
      <c r="B84" s="2"/>
      <c r="C84" s="2"/>
      <c r="D84" s="2"/>
      <c r="E84" s="2"/>
      <c r="F84" s="2" t="s">
        <v>84</v>
      </c>
      <c r="G84" s="2"/>
      <c r="H84" s="5">
        <f t="shared" si="43"/>
        <v>13</v>
      </c>
      <c r="I84" s="6"/>
      <c r="J84" s="5">
        <f t="shared" si="44"/>
        <v>13</v>
      </c>
      <c r="K84" s="6"/>
      <c r="L84" s="5">
        <f t="shared" si="45"/>
        <v>13</v>
      </c>
      <c r="M84" s="6"/>
      <c r="N84" s="5">
        <f t="shared" si="46"/>
        <v>13</v>
      </c>
      <c r="O84" s="6"/>
      <c r="P84" s="5">
        <f t="shared" si="47"/>
        <v>13</v>
      </c>
      <c r="Q84" s="6"/>
      <c r="R84" s="5">
        <f t="shared" si="48"/>
        <v>13</v>
      </c>
      <c r="S84" s="6"/>
      <c r="T84" s="5">
        <f t="shared" si="49"/>
        <v>13</v>
      </c>
      <c r="U84" s="6"/>
      <c r="V84" s="5">
        <f t="shared" si="50"/>
        <v>13</v>
      </c>
      <c r="W84" s="6"/>
      <c r="X84" s="5">
        <f t="shared" si="51"/>
        <v>13</v>
      </c>
      <c r="Y84" s="6"/>
      <c r="Z84" s="5">
        <f t="shared" si="52"/>
        <v>13</v>
      </c>
      <c r="AA84" s="6"/>
      <c r="AB84" s="5">
        <f t="shared" si="53"/>
        <v>13</v>
      </c>
      <c r="AC84" s="6"/>
      <c r="AD84" s="5">
        <f t="shared" si="54"/>
        <v>13</v>
      </c>
      <c r="AE84" s="6"/>
      <c r="AF84" s="5">
        <f>ROUND(+Assessments!H45*0.025,0)</f>
        <v>158</v>
      </c>
      <c r="AI84" s="5">
        <v>158.05000000000001</v>
      </c>
    </row>
    <row r="85" spans="1:35" x14ac:dyDescent="0.25">
      <c r="A85" s="2"/>
      <c r="B85" s="2"/>
      <c r="C85" s="2"/>
      <c r="D85" s="2"/>
      <c r="E85" s="2"/>
      <c r="F85" s="2" t="s">
        <v>19</v>
      </c>
      <c r="G85" s="2"/>
      <c r="H85" s="5">
        <f t="shared" si="43"/>
        <v>573</v>
      </c>
      <c r="I85" s="6"/>
      <c r="J85" s="5">
        <f t="shared" si="44"/>
        <v>573</v>
      </c>
      <c r="K85" s="6"/>
      <c r="L85" s="5">
        <f t="shared" si="45"/>
        <v>573</v>
      </c>
      <c r="M85" s="6"/>
      <c r="N85" s="5">
        <f t="shared" si="46"/>
        <v>573</v>
      </c>
      <c r="O85" s="6"/>
      <c r="P85" s="5">
        <f t="shared" si="47"/>
        <v>573</v>
      </c>
      <c r="Q85" s="6"/>
      <c r="R85" s="5">
        <f t="shared" si="48"/>
        <v>573</v>
      </c>
      <c r="S85" s="6"/>
      <c r="T85" s="5">
        <f t="shared" si="49"/>
        <v>573</v>
      </c>
      <c r="U85" s="6"/>
      <c r="V85" s="5">
        <f t="shared" si="50"/>
        <v>573</v>
      </c>
      <c r="W85" s="6"/>
      <c r="X85" s="5">
        <f t="shared" si="51"/>
        <v>573</v>
      </c>
      <c r="Y85" s="6"/>
      <c r="Z85" s="5">
        <f t="shared" si="52"/>
        <v>573</v>
      </c>
      <c r="AA85" s="6"/>
      <c r="AB85" s="5">
        <f t="shared" si="53"/>
        <v>573</v>
      </c>
      <c r="AC85" s="6"/>
      <c r="AD85" s="5">
        <f t="shared" si="54"/>
        <v>573</v>
      </c>
      <c r="AE85" s="6"/>
      <c r="AF85" s="5">
        <f>ROUND(+Assessments!H128*0.025,0)</f>
        <v>6876</v>
      </c>
      <c r="AI85" s="5">
        <v>7447.45</v>
      </c>
    </row>
    <row r="86" spans="1:35" x14ac:dyDescent="0.25">
      <c r="A86" s="2"/>
      <c r="B86" s="2"/>
      <c r="C86" s="2"/>
      <c r="D86" s="2"/>
      <c r="E86" s="2"/>
      <c r="F86" s="2" t="s">
        <v>27</v>
      </c>
      <c r="G86" s="2"/>
      <c r="H86" s="5">
        <f t="shared" si="43"/>
        <v>11</v>
      </c>
      <c r="I86" s="6"/>
      <c r="J86" s="5">
        <f t="shared" si="44"/>
        <v>11</v>
      </c>
      <c r="K86" s="6"/>
      <c r="L86" s="5">
        <f t="shared" si="45"/>
        <v>11</v>
      </c>
      <c r="M86" s="6"/>
      <c r="N86" s="5">
        <f t="shared" si="46"/>
        <v>11</v>
      </c>
      <c r="O86" s="6"/>
      <c r="P86" s="5">
        <f t="shared" si="47"/>
        <v>11</v>
      </c>
      <c r="Q86" s="6"/>
      <c r="R86" s="5">
        <f t="shared" si="48"/>
        <v>11</v>
      </c>
      <c r="S86" s="6"/>
      <c r="T86" s="5">
        <f t="shared" si="49"/>
        <v>11</v>
      </c>
      <c r="U86" s="6"/>
      <c r="V86" s="5">
        <f t="shared" si="50"/>
        <v>11</v>
      </c>
      <c r="W86" s="6"/>
      <c r="X86" s="5">
        <f t="shared" si="51"/>
        <v>11</v>
      </c>
      <c r="Y86" s="6"/>
      <c r="Z86" s="5">
        <f t="shared" si="52"/>
        <v>11</v>
      </c>
      <c r="AA86" s="6"/>
      <c r="AB86" s="5">
        <f t="shared" si="53"/>
        <v>11</v>
      </c>
      <c r="AC86" s="6"/>
      <c r="AD86" s="5">
        <f t="shared" si="54"/>
        <v>11</v>
      </c>
      <c r="AE86" s="6"/>
      <c r="AF86" s="5">
        <f>ROUND(+Assessments!H46*0.025,0)</f>
        <v>127</v>
      </c>
      <c r="AI86" s="5">
        <v>122.88</v>
      </c>
    </row>
    <row r="87" spans="1:35" x14ac:dyDescent="0.25">
      <c r="A87" s="2"/>
      <c r="B87" s="2"/>
      <c r="C87" s="2"/>
      <c r="D87" s="2"/>
      <c r="E87" s="2"/>
      <c r="F87" s="2" t="s">
        <v>22</v>
      </c>
      <c r="G87" s="2"/>
      <c r="H87" s="5">
        <f t="shared" si="43"/>
        <v>716</v>
      </c>
      <c r="I87" s="6"/>
      <c r="J87" s="5">
        <f t="shared" si="44"/>
        <v>716</v>
      </c>
      <c r="K87" s="6"/>
      <c r="L87" s="5">
        <f t="shared" si="45"/>
        <v>716</v>
      </c>
      <c r="M87" s="6"/>
      <c r="N87" s="5">
        <f t="shared" si="46"/>
        <v>716</v>
      </c>
      <c r="O87" s="6"/>
      <c r="P87" s="5">
        <f t="shared" si="47"/>
        <v>716</v>
      </c>
      <c r="Q87" s="6"/>
      <c r="R87" s="5">
        <f t="shared" si="48"/>
        <v>716</v>
      </c>
      <c r="S87" s="6"/>
      <c r="T87" s="5">
        <f t="shared" si="49"/>
        <v>716</v>
      </c>
      <c r="U87" s="6"/>
      <c r="V87" s="5">
        <f t="shared" si="50"/>
        <v>716</v>
      </c>
      <c r="W87" s="6"/>
      <c r="X87" s="5">
        <f t="shared" si="51"/>
        <v>716</v>
      </c>
      <c r="Y87" s="6"/>
      <c r="Z87" s="5">
        <f t="shared" si="52"/>
        <v>716</v>
      </c>
      <c r="AA87" s="6"/>
      <c r="AB87" s="5">
        <f t="shared" si="53"/>
        <v>716</v>
      </c>
      <c r="AC87" s="6"/>
      <c r="AD87" s="5">
        <f t="shared" si="54"/>
        <v>716</v>
      </c>
      <c r="AE87" s="6"/>
      <c r="AF87" s="5">
        <f>ROUND(+Assessments!H42*0.025,0)</f>
        <v>8590</v>
      </c>
      <c r="AI87" s="5">
        <v>8177.04</v>
      </c>
    </row>
    <row r="88" spans="1:35" ht="15.75" thickBot="1" x14ac:dyDescent="0.3">
      <c r="A88" s="2"/>
      <c r="B88" s="2"/>
      <c r="C88" s="2"/>
      <c r="D88" s="2"/>
      <c r="E88" s="2"/>
      <c r="F88" s="2" t="s">
        <v>85</v>
      </c>
      <c r="G88" s="2"/>
      <c r="H88" s="8">
        <f t="shared" si="43"/>
        <v>35</v>
      </c>
      <c r="I88" s="6"/>
      <c r="J88" s="8">
        <f t="shared" si="44"/>
        <v>35</v>
      </c>
      <c r="K88" s="6"/>
      <c r="L88" s="8">
        <f t="shared" si="45"/>
        <v>35</v>
      </c>
      <c r="M88" s="6"/>
      <c r="N88" s="8">
        <f t="shared" si="46"/>
        <v>35</v>
      </c>
      <c r="O88" s="6"/>
      <c r="P88" s="8">
        <f t="shared" si="47"/>
        <v>35</v>
      </c>
      <c r="Q88" s="6"/>
      <c r="R88" s="8">
        <f t="shared" si="48"/>
        <v>35</v>
      </c>
      <c r="S88" s="6"/>
      <c r="T88" s="8">
        <f t="shared" si="49"/>
        <v>35</v>
      </c>
      <c r="U88" s="6"/>
      <c r="V88" s="8">
        <f t="shared" si="50"/>
        <v>35</v>
      </c>
      <c r="W88" s="6"/>
      <c r="X88" s="8">
        <f t="shared" si="51"/>
        <v>35</v>
      </c>
      <c r="Y88" s="6"/>
      <c r="Z88" s="8">
        <f t="shared" si="52"/>
        <v>35</v>
      </c>
      <c r="AA88" s="6"/>
      <c r="AB88" s="8">
        <f t="shared" si="53"/>
        <v>35</v>
      </c>
      <c r="AC88" s="6"/>
      <c r="AD88" s="8">
        <f t="shared" si="54"/>
        <v>35</v>
      </c>
      <c r="AE88" s="6"/>
      <c r="AF88" s="8">
        <f>ROUND(+Assessments!H44*0.025,0)</f>
        <v>418</v>
      </c>
      <c r="AI88" s="8">
        <v>405.52</v>
      </c>
    </row>
    <row r="89" spans="1:35" ht="15.75" thickBot="1" x14ac:dyDescent="0.3">
      <c r="A89" s="2"/>
      <c r="B89" s="2"/>
      <c r="C89" s="2"/>
      <c r="D89" s="2"/>
      <c r="E89" s="2" t="s">
        <v>86</v>
      </c>
      <c r="F89" s="2"/>
      <c r="G89" s="2"/>
      <c r="H89" s="9">
        <f>ROUND(SUM(H82:H88),5)</f>
        <v>1557</v>
      </c>
      <c r="I89" s="6"/>
      <c r="J89" s="9">
        <f>ROUND(SUM(J82:J88),5)</f>
        <v>1557</v>
      </c>
      <c r="K89" s="6"/>
      <c r="L89" s="9">
        <f>ROUND(SUM(L82:L88),5)</f>
        <v>1557</v>
      </c>
      <c r="M89" s="6"/>
      <c r="N89" s="9">
        <f>ROUND(SUM(N82:N88),5)</f>
        <v>1557</v>
      </c>
      <c r="O89" s="6"/>
      <c r="P89" s="9">
        <f>ROUND(SUM(P82:P88),5)</f>
        <v>1557</v>
      </c>
      <c r="Q89" s="6"/>
      <c r="R89" s="9">
        <f>ROUND(SUM(R82:R88),5)</f>
        <v>1557</v>
      </c>
      <c r="S89" s="6"/>
      <c r="T89" s="9">
        <f>ROUND(SUM(T82:T88),5)</f>
        <v>1557</v>
      </c>
      <c r="U89" s="6"/>
      <c r="V89" s="9">
        <f>ROUND(SUM(V82:V88),5)</f>
        <v>1557</v>
      </c>
      <c r="W89" s="6"/>
      <c r="X89" s="9">
        <f>ROUND(SUM(X82:X88),5)</f>
        <v>1557</v>
      </c>
      <c r="Y89" s="6"/>
      <c r="Z89" s="9">
        <f>ROUND(SUM(Z82:Z88),5)</f>
        <v>1557</v>
      </c>
      <c r="AA89" s="6"/>
      <c r="AB89" s="9">
        <f>ROUND(SUM(AB82:AB88),5)</f>
        <v>1557</v>
      </c>
      <c r="AC89" s="6"/>
      <c r="AD89" s="9">
        <f>ROUND(SUM(AD82:AD88),5)</f>
        <v>1557</v>
      </c>
      <c r="AE89" s="6"/>
      <c r="AF89" s="9">
        <f t="shared" ref="AF89:AF91" si="55">ROUND(SUM(H89:AD89),5)</f>
        <v>18684</v>
      </c>
      <c r="AI89" s="9">
        <v>18875.86</v>
      </c>
    </row>
    <row r="90" spans="1:35" ht="30" customHeight="1" thickBot="1" x14ac:dyDescent="0.3">
      <c r="A90" s="2"/>
      <c r="B90" s="2"/>
      <c r="C90" s="2"/>
      <c r="D90" s="2" t="s">
        <v>87</v>
      </c>
      <c r="E90" s="2"/>
      <c r="F90" s="2"/>
      <c r="G90" s="2"/>
      <c r="H90" s="10">
        <f>ROUND(H81+H89,5)</f>
        <v>1557</v>
      </c>
      <c r="I90" s="6"/>
      <c r="J90" s="10">
        <f>ROUND(J81+J89,5)</f>
        <v>1557</v>
      </c>
      <c r="K90" s="6"/>
      <c r="L90" s="10">
        <f>ROUND(L81+L89,5)</f>
        <v>1557</v>
      </c>
      <c r="M90" s="6"/>
      <c r="N90" s="10">
        <f>ROUND(N81+N89,5)</f>
        <v>1557</v>
      </c>
      <c r="O90" s="6"/>
      <c r="P90" s="10">
        <f>ROUND(P81+P89,5)</f>
        <v>1557</v>
      </c>
      <c r="Q90" s="6"/>
      <c r="R90" s="10">
        <f>ROUND(R81+R89,5)</f>
        <v>1557</v>
      </c>
      <c r="S90" s="6"/>
      <c r="T90" s="10">
        <f>ROUND(T81+T89,5)</f>
        <v>1557</v>
      </c>
      <c r="U90" s="6"/>
      <c r="V90" s="10">
        <f>ROUND(V81+V89,5)</f>
        <v>1557</v>
      </c>
      <c r="W90" s="6"/>
      <c r="X90" s="10">
        <f>ROUND(X81+X89,5)</f>
        <v>1557</v>
      </c>
      <c r="Y90" s="6"/>
      <c r="Z90" s="10">
        <f>ROUND(Z81+Z89,5)</f>
        <v>1557</v>
      </c>
      <c r="AA90" s="6"/>
      <c r="AB90" s="10">
        <f>ROUND(AB81+AB89,5)</f>
        <v>1557</v>
      </c>
      <c r="AC90" s="6"/>
      <c r="AD90" s="10">
        <f>ROUND(AD81+AD89,5)</f>
        <v>1557</v>
      </c>
      <c r="AE90" s="6"/>
      <c r="AF90" s="10">
        <f t="shared" si="55"/>
        <v>18684</v>
      </c>
      <c r="AI90" s="10">
        <f>+AI89</f>
        <v>18875.86</v>
      </c>
    </row>
    <row r="91" spans="1:35" ht="30" customHeight="1" x14ac:dyDescent="0.25">
      <c r="A91" s="2"/>
      <c r="B91" s="2"/>
      <c r="C91" s="2" t="s">
        <v>33</v>
      </c>
      <c r="D91" s="2"/>
      <c r="E91" s="2"/>
      <c r="F91" s="2"/>
      <c r="G91" s="2"/>
      <c r="H91" s="5">
        <f>ROUND(H80+H90,5)</f>
        <v>1557</v>
      </c>
      <c r="I91" s="6"/>
      <c r="J91" s="5">
        <f>ROUND(J80+J90,5)</f>
        <v>1557</v>
      </c>
      <c r="K91" s="6"/>
      <c r="L91" s="5">
        <f>ROUND(L80+L90,5)</f>
        <v>1557</v>
      </c>
      <c r="M91" s="6"/>
      <c r="N91" s="5">
        <f>ROUND(N80+N90,5)</f>
        <v>1557</v>
      </c>
      <c r="O91" s="6"/>
      <c r="P91" s="5">
        <f>ROUND(P80+P90,5)</f>
        <v>1557</v>
      </c>
      <c r="Q91" s="6"/>
      <c r="R91" s="5">
        <f>ROUND(R80+R90,5)</f>
        <v>1557</v>
      </c>
      <c r="S91" s="6"/>
      <c r="T91" s="5">
        <f>ROUND(T80+T90,5)</f>
        <v>1557</v>
      </c>
      <c r="U91" s="6"/>
      <c r="V91" s="5">
        <f>ROUND(V80+V90,5)</f>
        <v>1557</v>
      </c>
      <c r="W91" s="6"/>
      <c r="X91" s="5">
        <f>ROUND(X80+X90,5)</f>
        <v>1557</v>
      </c>
      <c r="Y91" s="6"/>
      <c r="Z91" s="5">
        <f>ROUND(Z80+Z90,5)</f>
        <v>1557</v>
      </c>
      <c r="AA91" s="6"/>
      <c r="AB91" s="5">
        <f>ROUND(AB80+AB90,5)</f>
        <v>1557</v>
      </c>
      <c r="AC91" s="6"/>
      <c r="AD91" s="5">
        <f>ROUND(AD80+AD90,5)</f>
        <v>1557</v>
      </c>
      <c r="AE91" s="6"/>
      <c r="AF91" s="5">
        <f t="shared" si="55"/>
        <v>18684</v>
      </c>
      <c r="AI91" s="5">
        <f>+AI90</f>
        <v>18875.86</v>
      </c>
    </row>
    <row r="92" spans="1:35" ht="30" customHeight="1" x14ac:dyDescent="0.25">
      <c r="A92" s="2"/>
      <c r="B92" s="2"/>
      <c r="C92" s="2" t="s">
        <v>88</v>
      </c>
      <c r="D92" s="2"/>
      <c r="E92" s="2"/>
      <c r="F92" s="2"/>
      <c r="G92" s="2"/>
      <c r="H92" s="5"/>
      <c r="I92" s="6"/>
      <c r="J92" s="5"/>
      <c r="K92" s="6"/>
      <c r="L92" s="5"/>
      <c r="M92" s="6"/>
      <c r="N92" s="5"/>
      <c r="O92" s="6"/>
      <c r="P92" s="5"/>
      <c r="Q92" s="6"/>
      <c r="R92" s="5"/>
      <c r="S92" s="6"/>
      <c r="T92" s="5"/>
      <c r="U92" s="6"/>
      <c r="V92" s="5"/>
      <c r="W92" s="6"/>
      <c r="X92" s="5"/>
      <c r="Y92" s="6"/>
      <c r="Z92" s="5"/>
      <c r="AA92" s="6"/>
      <c r="AB92" s="5"/>
      <c r="AC92" s="6"/>
      <c r="AD92" s="5"/>
      <c r="AE92" s="6"/>
      <c r="AF92" s="5"/>
      <c r="AI92" s="5"/>
    </row>
    <row r="93" spans="1:35" x14ac:dyDescent="0.25">
      <c r="A93" s="2"/>
      <c r="B93" s="2"/>
      <c r="C93" s="2"/>
      <c r="D93" s="2" t="s">
        <v>89</v>
      </c>
      <c r="E93" s="2"/>
      <c r="F93" s="2"/>
      <c r="G93" s="2"/>
      <c r="H93" s="5"/>
      <c r="I93" s="6"/>
      <c r="J93" s="5"/>
      <c r="K93" s="6"/>
      <c r="L93" s="5"/>
      <c r="M93" s="6"/>
      <c r="N93" s="5"/>
      <c r="O93" s="6"/>
      <c r="P93" s="5"/>
      <c r="Q93" s="6"/>
      <c r="R93" s="5"/>
      <c r="S93" s="6"/>
      <c r="T93" s="5"/>
      <c r="U93" s="6"/>
      <c r="V93" s="5"/>
      <c r="W93" s="6"/>
      <c r="X93" s="5"/>
      <c r="Y93" s="6"/>
      <c r="Z93" s="5"/>
      <c r="AA93" s="6"/>
      <c r="AB93" s="5"/>
      <c r="AC93" s="6"/>
      <c r="AD93" s="5"/>
      <c r="AE93" s="6"/>
      <c r="AF93" s="5"/>
      <c r="AI93" s="5"/>
    </row>
    <row r="94" spans="1:35" x14ac:dyDescent="0.25">
      <c r="A94" s="2"/>
      <c r="B94" s="2"/>
      <c r="C94" s="2"/>
      <c r="D94" s="2"/>
      <c r="E94" s="2" t="s">
        <v>229</v>
      </c>
      <c r="F94" s="2"/>
      <c r="G94" s="2"/>
      <c r="H94" s="5"/>
      <c r="I94" s="6"/>
      <c r="J94" s="5"/>
      <c r="K94" s="6"/>
      <c r="L94" s="5"/>
      <c r="M94" s="6"/>
      <c r="N94" s="5"/>
      <c r="O94" s="6"/>
      <c r="P94" s="5"/>
      <c r="Q94" s="6"/>
      <c r="R94" s="5">
        <v>18000</v>
      </c>
      <c r="S94" s="6"/>
      <c r="T94" s="5"/>
      <c r="U94" s="6"/>
      <c r="V94" s="5"/>
      <c r="W94" s="6"/>
      <c r="X94" s="5"/>
      <c r="Y94" s="6"/>
      <c r="Z94" s="5"/>
      <c r="AA94" s="6"/>
      <c r="AB94" s="5"/>
      <c r="AC94" s="6"/>
      <c r="AD94" s="5"/>
      <c r="AE94" s="6"/>
      <c r="AF94" s="5">
        <f t="shared" ref="AF94:AF102" si="56">ROUND(SUM(H94:AD94),5)</f>
        <v>18000</v>
      </c>
      <c r="AI94" s="5"/>
    </row>
    <row r="95" spans="1:35" x14ac:dyDescent="0.25">
      <c r="A95" s="2"/>
      <c r="B95" s="2"/>
      <c r="C95" s="2"/>
      <c r="D95" s="2"/>
      <c r="E95" s="2" t="s">
        <v>228</v>
      </c>
      <c r="F95" s="2"/>
      <c r="G95" s="2"/>
      <c r="H95" s="5"/>
      <c r="I95" s="6"/>
      <c r="J95" s="5"/>
      <c r="K95" s="6"/>
      <c r="L95" s="5"/>
      <c r="M95" s="6"/>
      <c r="N95" s="5"/>
      <c r="O95" s="6"/>
      <c r="P95" s="5"/>
      <c r="Q95" s="6"/>
      <c r="R95" s="5">
        <v>67000</v>
      </c>
      <c r="S95" s="6"/>
      <c r="T95" s="5">
        <v>67000</v>
      </c>
      <c r="U95" s="6"/>
      <c r="V95" s="5">
        <v>66000</v>
      </c>
      <c r="W95" s="6"/>
      <c r="X95" s="5"/>
      <c r="Y95" s="6"/>
      <c r="Z95" s="5"/>
      <c r="AA95" s="6"/>
      <c r="AB95" s="5"/>
      <c r="AC95" s="6"/>
      <c r="AD95" s="5"/>
      <c r="AE95" s="6"/>
      <c r="AF95" s="5">
        <f t="shared" si="56"/>
        <v>200000</v>
      </c>
      <c r="AI95"/>
    </row>
    <row r="96" spans="1:35" x14ac:dyDescent="0.25">
      <c r="A96" s="2"/>
      <c r="B96" s="2"/>
      <c r="C96" s="2"/>
      <c r="D96" s="2"/>
      <c r="E96" s="2" t="s">
        <v>226</v>
      </c>
      <c r="F96" s="2"/>
      <c r="G96" s="2"/>
      <c r="H96" s="5"/>
      <c r="I96" s="6"/>
      <c r="J96" s="5"/>
      <c r="K96" s="6"/>
      <c r="L96" s="5"/>
      <c r="M96" s="6"/>
      <c r="N96" s="5"/>
      <c r="O96" s="6"/>
      <c r="P96" s="5">
        <v>15000</v>
      </c>
      <c r="Q96" s="6"/>
      <c r="R96" s="5"/>
      <c r="S96" s="6"/>
      <c r="T96" s="5"/>
      <c r="U96" s="6"/>
      <c r="V96" s="5"/>
      <c r="W96" s="6"/>
      <c r="X96" s="5"/>
      <c r="Y96" s="6"/>
      <c r="Z96" s="5"/>
      <c r="AA96" s="6"/>
      <c r="AB96" s="5"/>
      <c r="AC96" s="6"/>
      <c r="AD96" s="5"/>
      <c r="AE96" s="6"/>
      <c r="AF96" s="5">
        <f t="shared" si="56"/>
        <v>15000</v>
      </c>
      <c r="AI96"/>
    </row>
    <row r="97" spans="1:35" x14ac:dyDescent="0.25">
      <c r="A97" s="2"/>
      <c r="B97" s="2"/>
      <c r="C97" s="2"/>
      <c r="D97" s="2"/>
      <c r="E97" s="2" t="s">
        <v>227</v>
      </c>
      <c r="F97" s="2"/>
      <c r="G97" s="2"/>
      <c r="H97" s="5"/>
      <c r="I97" s="6"/>
      <c r="J97" s="5"/>
      <c r="K97" s="6"/>
      <c r="L97" s="5"/>
      <c r="M97" s="6"/>
      <c r="N97" s="5"/>
      <c r="O97" s="6"/>
      <c r="P97" s="5">
        <v>18000</v>
      </c>
      <c r="Q97" s="6"/>
      <c r="R97" s="5"/>
      <c r="S97" s="6"/>
      <c r="T97" s="5"/>
      <c r="U97" s="6"/>
      <c r="V97" s="5"/>
      <c r="W97" s="6"/>
      <c r="X97" s="5"/>
      <c r="Y97" s="6"/>
      <c r="Z97" s="5"/>
      <c r="AA97" s="6"/>
      <c r="AB97" s="5"/>
      <c r="AC97" s="6"/>
      <c r="AD97" s="5"/>
      <c r="AE97" s="6"/>
      <c r="AF97" s="5">
        <f t="shared" si="56"/>
        <v>18000</v>
      </c>
      <c r="AI97"/>
    </row>
    <row r="98" spans="1:35" ht="15.75" thickBot="1" x14ac:dyDescent="0.3">
      <c r="A98" s="2"/>
      <c r="B98" s="2"/>
      <c r="C98" s="2"/>
      <c r="D98" s="2"/>
      <c r="E98" s="2" t="s">
        <v>90</v>
      </c>
      <c r="F98" s="2"/>
      <c r="G98" s="2"/>
      <c r="H98" s="5"/>
      <c r="I98" s="6"/>
      <c r="J98" s="5"/>
      <c r="K98" s="6"/>
      <c r="L98" s="5"/>
      <c r="M98" s="6"/>
      <c r="N98" s="8"/>
      <c r="O98" s="6"/>
      <c r="P98" s="8">
        <v>2500</v>
      </c>
      <c r="Q98" s="6"/>
      <c r="R98" s="8"/>
      <c r="S98" s="6"/>
      <c r="T98" s="8"/>
      <c r="U98" s="6"/>
      <c r="V98" s="8">
        <v>2500</v>
      </c>
      <c r="W98" s="6"/>
      <c r="X98" s="8">
        <v>2500</v>
      </c>
      <c r="Y98" s="6"/>
      <c r="Z98" s="5"/>
      <c r="AA98" s="6"/>
      <c r="AB98" s="8">
        <v>2500</v>
      </c>
      <c r="AC98" s="6"/>
      <c r="AD98" s="5"/>
      <c r="AE98" s="6"/>
      <c r="AF98" s="8">
        <f t="shared" si="56"/>
        <v>10000</v>
      </c>
      <c r="AI98"/>
    </row>
    <row r="99" spans="1:35" ht="15.75" thickBot="1" x14ac:dyDescent="0.3">
      <c r="A99" s="2"/>
      <c r="B99" s="2"/>
      <c r="C99" s="2"/>
      <c r="D99" s="2" t="s">
        <v>91</v>
      </c>
      <c r="E99" s="2"/>
      <c r="F99" s="2"/>
      <c r="G99" s="2"/>
      <c r="H99" s="9">
        <f>ROUND(SUM(H93:H98),5)</f>
        <v>0</v>
      </c>
      <c r="I99" s="6"/>
      <c r="J99" s="9">
        <f>ROUND(SUM(J93:J98),5)</f>
        <v>0</v>
      </c>
      <c r="K99" s="6"/>
      <c r="L99" s="9">
        <f>ROUND(SUM(L93:L98),5)</f>
        <v>0</v>
      </c>
      <c r="M99" s="6"/>
      <c r="N99" s="9">
        <f>ROUND(SUM(N93:N98),5)</f>
        <v>0</v>
      </c>
      <c r="O99" s="6"/>
      <c r="P99" s="9">
        <f>ROUND(SUM(P93:P98),5)</f>
        <v>35500</v>
      </c>
      <c r="Q99" s="6"/>
      <c r="R99" s="9">
        <f>ROUND(SUM(R93:R98),5)</f>
        <v>85000</v>
      </c>
      <c r="S99" s="6"/>
      <c r="T99" s="9">
        <f>ROUND(SUM(T93:T98),5)</f>
        <v>67000</v>
      </c>
      <c r="U99" s="6"/>
      <c r="V99" s="9">
        <f>ROUND(SUM(V93:V98),5)</f>
        <v>68500</v>
      </c>
      <c r="W99" s="6"/>
      <c r="X99" s="9">
        <f>ROUND(SUM(X93:X98),5)</f>
        <v>2500</v>
      </c>
      <c r="Y99" s="6"/>
      <c r="Z99" s="9">
        <f>ROUND(SUM(Z93:Z98),5)</f>
        <v>0</v>
      </c>
      <c r="AA99" s="6"/>
      <c r="AB99" s="9">
        <f>ROUND(SUM(AB93:AB98),5)</f>
        <v>2500</v>
      </c>
      <c r="AC99" s="6"/>
      <c r="AD99" s="9">
        <f>ROUND(SUM(AD93:AD98),5)</f>
        <v>0</v>
      </c>
      <c r="AE99" s="6"/>
      <c r="AF99" s="9">
        <f t="shared" si="56"/>
        <v>261000</v>
      </c>
      <c r="AI99"/>
    </row>
    <row r="100" spans="1:35" ht="30" customHeight="1" thickBot="1" x14ac:dyDescent="0.3">
      <c r="A100" s="2"/>
      <c r="B100" s="2"/>
      <c r="C100" s="2" t="s">
        <v>92</v>
      </c>
      <c r="D100" s="2"/>
      <c r="E100" s="2"/>
      <c r="F100" s="2"/>
      <c r="G100" s="2"/>
      <c r="H100" s="9">
        <f>ROUND(H92+H99,5)</f>
        <v>0</v>
      </c>
      <c r="I100" s="6"/>
      <c r="J100" s="9">
        <f>ROUND(J92+J99,5)</f>
        <v>0</v>
      </c>
      <c r="K100" s="6"/>
      <c r="L100" s="9">
        <f>ROUND(L92+L99,5)</f>
        <v>0</v>
      </c>
      <c r="M100" s="6"/>
      <c r="N100" s="9">
        <f>ROUND(N92+N99,5)</f>
        <v>0</v>
      </c>
      <c r="O100" s="6"/>
      <c r="P100" s="9">
        <f>ROUND(P92+P99,5)</f>
        <v>35500</v>
      </c>
      <c r="Q100" s="6"/>
      <c r="R100" s="9">
        <f>ROUND(R92+R99,5)</f>
        <v>85000</v>
      </c>
      <c r="S100" s="6"/>
      <c r="T100" s="9">
        <f>ROUND(T92+T99,5)</f>
        <v>67000</v>
      </c>
      <c r="U100" s="6"/>
      <c r="V100" s="9">
        <f>ROUND(V92+V99,5)</f>
        <v>68500</v>
      </c>
      <c r="W100" s="6"/>
      <c r="X100" s="9">
        <f>ROUND(X92+X99,5)</f>
        <v>2500</v>
      </c>
      <c r="Y100" s="6"/>
      <c r="Z100" s="9">
        <f>ROUND(Z92+Z99,5)</f>
        <v>0</v>
      </c>
      <c r="AA100" s="6"/>
      <c r="AB100" s="9">
        <f>ROUND(AB92+AB99,5)</f>
        <v>2500</v>
      </c>
      <c r="AC100" s="6"/>
      <c r="AD100" s="9">
        <f>ROUND(AD92+AD99,5)</f>
        <v>0</v>
      </c>
      <c r="AE100" s="6"/>
      <c r="AF100" s="9">
        <f t="shared" si="56"/>
        <v>261000</v>
      </c>
      <c r="AI100"/>
    </row>
    <row r="101" spans="1:35" ht="30" customHeight="1" thickBot="1" x14ac:dyDescent="0.3">
      <c r="A101" s="2"/>
      <c r="B101" s="2" t="s">
        <v>93</v>
      </c>
      <c r="C101" s="2"/>
      <c r="D101" s="2"/>
      <c r="E101" s="2"/>
      <c r="F101" s="2"/>
      <c r="G101" s="2"/>
      <c r="H101" s="9">
        <f>ROUND(H79+H91-H100,5)</f>
        <v>1557</v>
      </c>
      <c r="I101" s="6"/>
      <c r="J101" s="9">
        <f>ROUND(J79+J91-J100,5)</f>
        <v>1557</v>
      </c>
      <c r="K101" s="6"/>
      <c r="L101" s="9">
        <f>ROUND(L79+L91-L100,5)</f>
        <v>1557</v>
      </c>
      <c r="M101" s="6"/>
      <c r="N101" s="9">
        <f>ROUND(N79+N91-N100,5)</f>
        <v>1557</v>
      </c>
      <c r="O101" s="6"/>
      <c r="P101" s="9">
        <f>ROUND(P79+P91-P100,5)</f>
        <v>-33943</v>
      </c>
      <c r="Q101" s="6"/>
      <c r="R101" s="9">
        <f>ROUND(R79+R91-R100,5)</f>
        <v>-83443</v>
      </c>
      <c r="S101" s="6"/>
      <c r="T101" s="9">
        <f>ROUND(T79+T91-T100,5)</f>
        <v>-65443</v>
      </c>
      <c r="U101" s="6"/>
      <c r="V101" s="9">
        <f>ROUND(V79+V91-V100,5)</f>
        <v>-66943</v>
      </c>
      <c r="W101" s="6"/>
      <c r="X101" s="9">
        <f>ROUND(X79+X91-X100,5)</f>
        <v>-943</v>
      </c>
      <c r="Y101" s="6"/>
      <c r="Z101" s="9">
        <f>ROUND(Z79+Z91-Z100,5)</f>
        <v>1557</v>
      </c>
      <c r="AA101" s="6"/>
      <c r="AB101" s="9">
        <f>ROUND(AB79+AB91-AB100,5)</f>
        <v>-943</v>
      </c>
      <c r="AC101" s="6"/>
      <c r="AD101" s="9">
        <f>ROUND(AD79+AD91-AD100,5)</f>
        <v>1557</v>
      </c>
      <c r="AE101" s="6"/>
      <c r="AF101" s="9">
        <f t="shared" si="56"/>
        <v>-242316</v>
      </c>
      <c r="AI101"/>
    </row>
    <row r="102" spans="1:35" s="12" customFormat="1" ht="30" customHeight="1" thickBot="1" x14ac:dyDescent="0.25">
      <c r="A102" s="2" t="s">
        <v>94</v>
      </c>
      <c r="B102" s="2"/>
      <c r="C102" s="2"/>
      <c r="D102" s="2"/>
      <c r="E102" s="2"/>
      <c r="F102" s="2"/>
      <c r="G102" s="2"/>
      <c r="H102" s="11">
        <f>ROUND(H78+H101,5)</f>
        <v>-2741.90029</v>
      </c>
      <c r="I102" s="2"/>
      <c r="J102" s="11">
        <f>ROUND(J78+J101,5)</f>
        <v>-910.02796999999998</v>
      </c>
      <c r="K102" s="2"/>
      <c r="L102" s="11">
        <f>ROUND(L78+L101,5)</f>
        <v>457.96875999999997</v>
      </c>
      <c r="M102" s="2"/>
      <c r="N102" s="11">
        <f>ROUND(N78+N101,5)</f>
        <v>10813.647639999999</v>
      </c>
      <c r="O102" s="2"/>
      <c r="P102" s="11">
        <f>ROUND(P78+P101,5)</f>
        <v>-31586.834180000002</v>
      </c>
      <c r="Q102" s="2"/>
      <c r="R102" s="11">
        <f>ROUND(R78+R101,5)</f>
        <v>-80887.615040000004</v>
      </c>
      <c r="S102" s="2"/>
      <c r="T102" s="11">
        <f>ROUND(T78+T101,5)</f>
        <v>-65930.293130000005</v>
      </c>
      <c r="U102" s="2"/>
      <c r="V102" s="11">
        <f>ROUND(V78+V101,5)</f>
        <v>-67820.582609999998</v>
      </c>
      <c r="W102" s="2"/>
      <c r="X102" s="11">
        <f>ROUND(X78+X101,5)</f>
        <v>-1503.2594899999999</v>
      </c>
      <c r="Y102" s="2"/>
      <c r="Z102" s="11">
        <f>ROUND(Z78+Z101,5)</f>
        <v>14184.86557</v>
      </c>
      <c r="AA102" s="2"/>
      <c r="AB102" s="11">
        <f>ROUND(AB78+AB101,5)</f>
        <v>-4515.7885299999998</v>
      </c>
      <c r="AC102" s="2"/>
      <c r="AD102" s="11">
        <f>ROUND(AD78+AD101,5)</f>
        <v>-1434.18073</v>
      </c>
      <c r="AE102" s="2"/>
      <c r="AF102" s="11">
        <f t="shared" si="56"/>
        <v>-231874</v>
      </c>
      <c r="AG102" s="12" t="s">
        <v>230</v>
      </c>
    </row>
    <row r="103" spans="1:35" ht="15.75" thickTop="1" x14ac:dyDescent="0.25">
      <c r="AI103"/>
    </row>
    <row r="104" spans="1:35" x14ac:dyDescent="0.25">
      <c r="A104" s="17" t="s">
        <v>231</v>
      </c>
      <c r="B104" s="17" t="s">
        <v>232</v>
      </c>
      <c r="AI104"/>
    </row>
    <row r="105" spans="1:35" x14ac:dyDescent="0.25">
      <c r="AI105"/>
    </row>
  </sheetData>
  <pageMargins left="0.7" right="0.7" top="0.75" bottom="0.75" header="0.25" footer="0.3"/>
  <pageSetup scale="65" fitToHeight="0" orientation="landscape" r:id="rId1"/>
  <headerFooter>
    <oddHeader>&amp;L&amp;"Arial,Bold"&amp;8 3:56 PM
&amp;"Arial,Bold"&amp;8 12/16/11
&amp;"Arial,Bold"&amp;8 Accrual Basis&amp;C&amp;"Arial,Bold"&amp;12 Beaver Creek Lodge Condominium Association
&amp;"Arial,Bold"&amp;14 Profit &amp;&amp; Loss Budget Overview
&amp;"Arial,Bold"&amp;10 January through December 2012</oddHeader>
    <oddFooter>&amp;R&amp;"Arial,Bold"&amp;8 Page &amp;P of &amp;N</oddFooter>
  </headerFooter>
  <rowBreaks count="2" manualBreakCount="2">
    <brk id="43" max="32" man="1"/>
    <brk id="78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9"/>
  <sheetViews>
    <sheetView tabSelected="1" zoomScale="82" zoomScaleNormal="82" workbookViewId="0">
      <pane ySplit="2160" activePane="bottomLeft"/>
      <selection activeCell="D1" sqref="D1:D1048576"/>
      <selection pane="bottomLeft" activeCell="D18" sqref="D18"/>
    </sheetView>
  </sheetViews>
  <sheetFormatPr defaultRowHeight="15" x14ac:dyDescent="0.25"/>
  <cols>
    <col min="1" max="1" width="4.28515625" customWidth="1"/>
    <col min="2" max="2" width="6.140625" style="16" bestFit="1" customWidth="1"/>
    <col min="3" max="3" width="28.140625" style="16" bestFit="1" customWidth="1"/>
    <col min="4" max="4" width="12.5703125" style="166" bestFit="1" customWidth="1"/>
    <col min="5" max="5" width="10.140625" style="131" customWidth="1"/>
    <col min="6" max="6" width="12.5703125" style="29" bestFit="1" customWidth="1"/>
    <col min="7" max="7" width="3.7109375" style="25" customWidth="1"/>
    <col min="8" max="8" width="15.7109375" style="30" customWidth="1"/>
    <col min="9" max="9" width="5" style="31" customWidth="1"/>
    <col min="10" max="11" width="15.7109375" style="30" customWidth="1"/>
    <col min="12" max="12" width="5" style="31" customWidth="1"/>
    <col min="13" max="13" width="16.7109375" style="30" customWidth="1"/>
    <col min="14" max="14" width="16.7109375" style="30" hidden="1" customWidth="1"/>
    <col min="15" max="15" width="4.42578125" style="25" customWidth="1"/>
    <col min="16" max="16" width="16.7109375" style="25" customWidth="1"/>
    <col min="17" max="17" width="4.42578125" style="25" customWidth="1"/>
    <col min="18" max="18" width="16.7109375" style="25" customWidth="1"/>
    <col min="19" max="19" width="8.28515625" style="25" customWidth="1"/>
    <col min="20" max="20" width="16.7109375" style="25" customWidth="1"/>
    <col min="21" max="21" width="13.7109375" style="25" customWidth="1"/>
    <col min="22" max="22" width="9.28515625" style="25" bestFit="1" customWidth="1"/>
    <col min="23" max="256" width="9.140625" style="25"/>
    <col min="257" max="257" width="4.28515625" style="25" customWidth="1"/>
    <col min="258" max="258" width="6.140625" style="25" bestFit="1" customWidth="1"/>
    <col min="259" max="259" width="28.140625" style="25" bestFit="1" customWidth="1"/>
    <col min="260" max="260" width="12.5703125" style="25" bestFit="1" customWidth="1"/>
    <col min="261" max="261" width="8.7109375" style="25" bestFit="1" customWidth="1"/>
    <col min="262" max="262" width="12.5703125" style="25" bestFit="1" customWidth="1"/>
    <col min="263" max="263" width="3.7109375" style="25" customWidth="1"/>
    <col min="264" max="264" width="15.7109375" style="25" customWidth="1"/>
    <col min="265" max="265" width="5" style="25" customWidth="1"/>
    <col min="266" max="267" width="15.7109375" style="25" customWidth="1"/>
    <col min="268" max="268" width="5" style="25" customWidth="1"/>
    <col min="269" max="269" width="16.7109375" style="25" customWidth="1"/>
    <col min="270" max="270" width="0" style="25" hidden="1" customWidth="1"/>
    <col min="271" max="271" width="4.42578125" style="25" customWidth="1"/>
    <col min="272" max="272" width="16.7109375" style="25" customWidth="1"/>
    <col min="273" max="273" width="4.42578125" style="25" customWidth="1"/>
    <col min="274" max="274" width="16.7109375" style="25" customWidth="1"/>
    <col min="275" max="275" width="9.140625" style="25"/>
    <col min="276" max="277" width="0" style="25" hidden="1" customWidth="1"/>
    <col min="278" max="278" width="9.28515625" style="25" bestFit="1" customWidth="1"/>
    <col min="279" max="512" width="9.140625" style="25"/>
    <col min="513" max="513" width="4.28515625" style="25" customWidth="1"/>
    <col min="514" max="514" width="6.140625" style="25" bestFit="1" customWidth="1"/>
    <col min="515" max="515" width="28.140625" style="25" bestFit="1" customWidth="1"/>
    <col min="516" max="516" width="12.5703125" style="25" bestFit="1" customWidth="1"/>
    <col min="517" max="517" width="8.7109375" style="25" bestFit="1" customWidth="1"/>
    <col min="518" max="518" width="12.5703125" style="25" bestFit="1" customWidth="1"/>
    <col min="519" max="519" width="3.7109375" style="25" customWidth="1"/>
    <col min="520" max="520" width="15.7109375" style="25" customWidth="1"/>
    <col min="521" max="521" width="5" style="25" customWidth="1"/>
    <col min="522" max="523" width="15.7109375" style="25" customWidth="1"/>
    <col min="524" max="524" width="5" style="25" customWidth="1"/>
    <col min="525" max="525" width="16.7109375" style="25" customWidth="1"/>
    <col min="526" max="526" width="0" style="25" hidden="1" customWidth="1"/>
    <col min="527" max="527" width="4.42578125" style="25" customWidth="1"/>
    <col min="528" max="528" width="16.7109375" style="25" customWidth="1"/>
    <col min="529" max="529" width="4.42578125" style="25" customWidth="1"/>
    <col min="530" max="530" width="16.7109375" style="25" customWidth="1"/>
    <col min="531" max="531" width="9.140625" style="25"/>
    <col min="532" max="533" width="0" style="25" hidden="1" customWidth="1"/>
    <col min="534" max="534" width="9.28515625" style="25" bestFit="1" customWidth="1"/>
    <col min="535" max="768" width="9.140625" style="25"/>
    <col min="769" max="769" width="4.28515625" style="25" customWidth="1"/>
    <col min="770" max="770" width="6.140625" style="25" bestFit="1" customWidth="1"/>
    <col min="771" max="771" width="28.140625" style="25" bestFit="1" customWidth="1"/>
    <col min="772" max="772" width="12.5703125" style="25" bestFit="1" customWidth="1"/>
    <col min="773" max="773" width="8.7109375" style="25" bestFit="1" customWidth="1"/>
    <col min="774" max="774" width="12.5703125" style="25" bestFit="1" customWidth="1"/>
    <col min="775" max="775" width="3.7109375" style="25" customWidth="1"/>
    <col min="776" max="776" width="15.7109375" style="25" customWidth="1"/>
    <col min="777" max="777" width="5" style="25" customWidth="1"/>
    <col min="778" max="779" width="15.7109375" style="25" customWidth="1"/>
    <col min="780" max="780" width="5" style="25" customWidth="1"/>
    <col min="781" max="781" width="16.7109375" style="25" customWidth="1"/>
    <col min="782" max="782" width="0" style="25" hidden="1" customWidth="1"/>
    <col min="783" max="783" width="4.42578125" style="25" customWidth="1"/>
    <col min="784" max="784" width="16.7109375" style="25" customWidth="1"/>
    <col min="785" max="785" width="4.42578125" style="25" customWidth="1"/>
    <col min="786" max="786" width="16.7109375" style="25" customWidth="1"/>
    <col min="787" max="787" width="9.140625" style="25"/>
    <col min="788" max="789" width="0" style="25" hidden="1" customWidth="1"/>
    <col min="790" max="790" width="9.28515625" style="25" bestFit="1" customWidth="1"/>
    <col min="791" max="1024" width="9.140625" style="25"/>
    <col min="1025" max="1025" width="4.28515625" style="25" customWidth="1"/>
    <col min="1026" max="1026" width="6.140625" style="25" bestFit="1" customWidth="1"/>
    <col min="1027" max="1027" width="28.140625" style="25" bestFit="1" customWidth="1"/>
    <col min="1028" max="1028" width="12.5703125" style="25" bestFit="1" customWidth="1"/>
    <col min="1029" max="1029" width="8.7109375" style="25" bestFit="1" customWidth="1"/>
    <col min="1030" max="1030" width="12.5703125" style="25" bestFit="1" customWidth="1"/>
    <col min="1031" max="1031" width="3.7109375" style="25" customWidth="1"/>
    <col min="1032" max="1032" width="15.7109375" style="25" customWidth="1"/>
    <col min="1033" max="1033" width="5" style="25" customWidth="1"/>
    <col min="1034" max="1035" width="15.7109375" style="25" customWidth="1"/>
    <col min="1036" max="1036" width="5" style="25" customWidth="1"/>
    <col min="1037" max="1037" width="16.7109375" style="25" customWidth="1"/>
    <col min="1038" max="1038" width="0" style="25" hidden="1" customWidth="1"/>
    <col min="1039" max="1039" width="4.42578125" style="25" customWidth="1"/>
    <col min="1040" max="1040" width="16.7109375" style="25" customWidth="1"/>
    <col min="1041" max="1041" width="4.42578125" style="25" customWidth="1"/>
    <col min="1042" max="1042" width="16.7109375" style="25" customWidth="1"/>
    <col min="1043" max="1043" width="9.140625" style="25"/>
    <col min="1044" max="1045" width="0" style="25" hidden="1" customWidth="1"/>
    <col min="1046" max="1046" width="9.28515625" style="25" bestFit="1" customWidth="1"/>
    <col min="1047" max="1280" width="9.140625" style="25"/>
    <col min="1281" max="1281" width="4.28515625" style="25" customWidth="1"/>
    <col min="1282" max="1282" width="6.140625" style="25" bestFit="1" customWidth="1"/>
    <col min="1283" max="1283" width="28.140625" style="25" bestFit="1" customWidth="1"/>
    <col min="1284" max="1284" width="12.5703125" style="25" bestFit="1" customWidth="1"/>
    <col min="1285" max="1285" width="8.7109375" style="25" bestFit="1" customWidth="1"/>
    <col min="1286" max="1286" width="12.5703125" style="25" bestFit="1" customWidth="1"/>
    <col min="1287" max="1287" width="3.7109375" style="25" customWidth="1"/>
    <col min="1288" max="1288" width="15.7109375" style="25" customWidth="1"/>
    <col min="1289" max="1289" width="5" style="25" customWidth="1"/>
    <col min="1290" max="1291" width="15.7109375" style="25" customWidth="1"/>
    <col min="1292" max="1292" width="5" style="25" customWidth="1"/>
    <col min="1293" max="1293" width="16.7109375" style="25" customWidth="1"/>
    <col min="1294" max="1294" width="0" style="25" hidden="1" customWidth="1"/>
    <col min="1295" max="1295" width="4.42578125" style="25" customWidth="1"/>
    <col min="1296" max="1296" width="16.7109375" style="25" customWidth="1"/>
    <col min="1297" max="1297" width="4.42578125" style="25" customWidth="1"/>
    <col min="1298" max="1298" width="16.7109375" style="25" customWidth="1"/>
    <col min="1299" max="1299" width="9.140625" style="25"/>
    <col min="1300" max="1301" width="0" style="25" hidden="1" customWidth="1"/>
    <col min="1302" max="1302" width="9.28515625" style="25" bestFit="1" customWidth="1"/>
    <col min="1303" max="1536" width="9.140625" style="25"/>
    <col min="1537" max="1537" width="4.28515625" style="25" customWidth="1"/>
    <col min="1538" max="1538" width="6.140625" style="25" bestFit="1" customWidth="1"/>
    <col min="1539" max="1539" width="28.140625" style="25" bestFit="1" customWidth="1"/>
    <col min="1540" max="1540" width="12.5703125" style="25" bestFit="1" customWidth="1"/>
    <col min="1541" max="1541" width="8.7109375" style="25" bestFit="1" customWidth="1"/>
    <col min="1542" max="1542" width="12.5703125" style="25" bestFit="1" customWidth="1"/>
    <col min="1543" max="1543" width="3.7109375" style="25" customWidth="1"/>
    <col min="1544" max="1544" width="15.7109375" style="25" customWidth="1"/>
    <col min="1545" max="1545" width="5" style="25" customWidth="1"/>
    <col min="1546" max="1547" width="15.7109375" style="25" customWidth="1"/>
    <col min="1548" max="1548" width="5" style="25" customWidth="1"/>
    <col min="1549" max="1549" width="16.7109375" style="25" customWidth="1"/>
    <col min="1550" max="1550" width="0" style="25" hidden="1" customWidth="1"/>
    <col min="1551" max="1551" width="4.42578125" style="25" customWidth="1"/>
    <col min="1552" max="1552" width="16.7109375" style="25" customWidth="1"/>
    <col min="1553" max="1553" width="4.42578125" style="25" customWidth="1"/>
    <col min="1554" max="1554" width="16.7109375" style="25" customWidth="1"/>
    <col min="1555" max="1555" width="9.140625" style="25"/>
    <col min="1556" max="1557" width="0" style="25" hidden="1" customWidth="1"/>
    <col min="1558" max="1558" width="9.28515625" style="25" bestFit="1" customWidth="1"/>
    <col min="1559" max="1792" width="9.140625" style="25"/>
    <col min="1793" max="1793" width="4.28515625" style="25" customWidth="1"/>
    <col min="1794" max="1794" width="6.140625" style="25" bestFit="1" customWidth="1"/>
    <col min="1795" max="1795" width="28.140625" style="25" bestFit="1" customWidth="1"/>
    <col min="1796" max="1796" width="12.5703125" style="25" bestFit="1" customWidth="1"/>
    <col min="1797" max="1797" width="8.7109375" style="25" bestFit="1" customWidth="1"/>
    <col min="1798" max="1798" width="12.5703125" style="25" bestFit="1" customWidth="1"/>
    <col min="1799" max="1799" width="3.7109375" style="25" customWidth="1"/>
    <col min="1800" max="1800" width="15.7109375" style="25" customWidth="1"/>
    <col min="1801" max="1801" width="5" style="25" customWidth="1"/>
    <col min="1802" max="1803" width="15.7109375" style="25" customWidth="1"/>
    <col min="1804" max="1804" width="5" style="25" customWidth="1"/>
    <col min="1805" max="1805" width="16.7109375" style="25" customWidth="1"/>
    <col min="1806" max="1806" width="0" style="25" hidden="1" customWidth="1"/>
    <col min="1807" max="1807" width="4.42578125" style="25" customWidth="1"/>
    <col min="1808" max="1808" width="16.7109375" style="25" customWidth="1"/>
    <col min="1809" max="1809" width="4.42578125" style="25" customWidth="1"/>
    <col min="1810" max="1810" width="16.7109375" style="25" customWidth="1"/>
    <col min="1811" max="1811" width="9.140625" style="25"/>
    <col min="1812" max="1813" width="0" style="25" hidden="1" customWidth="1"/>
    <col min="1814" max="1814" width="9.28515625" style="25" bestFit="1" customWidth="1"/>
    <col min="1815" max="2048" width="9.140625" style="25"/>
    <col min="2049" max="2049" width="4.28515625" style="25" customWidth="1"/>
    <col min="2050" max="2050" width="6.140625" style="25" bestFit="1" customWidth="1"/>
    <col min="2051" max="2051" width="28.140625" style="25" bestFit="1" customWidth="1"/>
    <col min="2052" max="2052" width="12.5703125" style="25" bestFit="1" customWidth="1"/>
    <col min="2053" max="2053" width="8.7109375" style="25" bestFit="1" customWidth="1"/>
    <col min="2054" max="2054" width="12.5703125" style="25" bestFit="1" customWidth="1"/>
    <col min="2055" max="2055" width="3.7109375" style="25" customWidth="1"/>
    <col min="2056" max="2056" width="15.7109375" style="25" customWidth="1"/>
    <col min="2057" max="2057" width="5" style="25" customWidth="1"/>
    <col min="2058" max="2059" width="15.7109375" style="25" customWidth="1"/>
    <col min="2060" max="2060" width="5" style="25" customWidth="1"/>
    <col min="2061" max="2061" width="16.7109375" style="25" customWidth="1"/>
    <col min="2062" max="2062" width="0" style="25" hidden="1" customWidth="1"/>
    <col min="2063" max="2063" width="4.42578125" style="25" customWidth="1"/>
    <col min="2064" max="2064" width="16.7109375" style="25" customWidth="1"/>
    <col min="2065" max="2065" width="4.42578125" style="25" customWidth="1"/>
    <col min="2066" max="2066" width="16.7109375" style="25" customWidth="1"/>
    <col min="2067" max="2067" width="9.140625" style="25"/>
    <col min="2068" max="2069" width="0" style="25" hidden="1" customWidth="1"/>
    <col min="2070" max="2070" width="9.28515625" style="25" bestFit="1" customWidth="1"/>
    <col min="2071" max="2304" width="9.140625" style="25"/>
    <col min="2305" max="2305" width="4.28515625" style="25" customWidth="1"/>
    <col min="2306" max="2306" width="6.140625" style="25" bestFit="1" customWidth="1"/>
    <col min="2307" max="2307" width="28.140625" style="25" bestFit="1" customWidth="1"/>
    <col min="2308" max="2308" width="12.5703125" style="25" bestFit="1" customWidth="1"/>
    <col min="2309" max="2309" width="8.7109375" style="25" bestFit="1" customWidth="1"/>
    <col min="2310" max="2310" width="12.5703125" style="25" bestFit="1" customWidth="1"/>
    <col min="2311" max="2311" width="3.7109375" style="25" customWidth="1"/>
    <col min="2312" max="2312" width="15.7109375" style="25" customWidth="1"/>
    <col min="2313" max="2313" width="5" style="25" customWidth="1"/>
    <col min="2314" max="2315" width="15.7109375" style="25" customWidth="1"/>
    <col min="2316" max="2316" width="5" style="25" customWidth="1"/>
    <col min="2317" max="2317" width="16.7109375" style="25" customWidth="1"/>
    <col min="2318" max="2318" width="0" style="25" hidden="1" customWidth="1"/>
    <col min="2319" max="2319" width="4.42578125" style="25" customWidth="1"/>
    <col min="2320" max="2320" width="16.7109375" style="25" customWidth="1"/>
    <col min="2321" max="2321" width="4.42578125" style="25" customWidth="1"/>
    <col min="2322" max="2322" width="16.7109375" style="25" customWidth="1"/>
    <col min="2323" max="2323" width="9.140625" style="25"/>
    <col min="2324" max="2325" width="0" style="25" hidden="1" customWidth="1"/>
    <col min="2326" max="2326" width="9.28515625" style="25" bestFit="1" customWidth="1"/>
    <col min="2327" max="2560" width="9.140625" style="25"/>
    <col min="2561" max="2561" width="4.28515625" style="25" customWidth="1"/>
    <col min="2562" max="2562" width="6.140625" style="25" bestFit="1" customWidth="1"/>
    <col min="2563" max="2563" width="28.140625" style="25" bestFit="1" customWidth="1"/>
    <col min="2564" max="2564" width="12.5703125" style="25" bestFit="1" customWidth="1"/>
    <col min="2565" max="2565" width="8.7109375" style="25" bestFit="1" customWidth="1"/>
    <col min="2566" max="2566" width="12.5703125" style="25" bestFit="1" customWidth="1"/>
    <col min="2567" max="2567" width="3.7109375" style="25" customWidth="1"/>
    <col min="2568" max="2568" width="15.7109375" style="25" customWidth="1"/>
    <col min="2569" max="2569" width="5" style="25" customWidth="1"/>
    <col min="2570" max="2571" width="15.7109375" style="25" customWidth="1"/>
    <col min="2572" max="2572" width="5" style="25" customWidth="1"/>
    <col min="2573" max="2573" width="16.7109375" style="25" customWidth="1"/>
    <col min="2574" max="2574" width="0" style="25" hidden="1" customWidth="1"/>
    <col min="2575" max="2575" width="4.42578125" style="25" customWidth="1"/>
    <col min="2576" max="2576" width="16.7109375" style="25" customWidth="1"/>
    <col min="2577" max="2577" width="4.42578125" style="25" customWidth="1"/>
    <col min="2578" max="2578" width="16.7109375" style="25" customWidth="1"/>
    <col min="2579" max="2579" width="9.140625" style="25"/>
    <col min="2580" max="2581" width="0" style="25" hidden="1" customWidth="1"/>
    <col min="2582" max="2582" width="9.28515625" style="25" bestFit="1" customWidth="1"/>
    <col min="2583" max="2816" width="9.140625" style="25"/>
    <col min="2817" max="2817" width="4.28515625" style="25" customWidth="1"/>
    <col min="2818" max="2818" width="6.140625" style="25" bestFit="1" customWidth="1"/>
    <col min="2819" max="2819" width="28.140625" style="25" bestFit="1" customWidth="1"/>
    <col min="2820" max="2820" width="12.5703125" style="25" bestFit="1" customWidth="1"/>
    <col min="2821" max="2821" width="8.7109375" style="25" bestFit="1" customWidth="1"/>
    <col min="2822" max="2822" width="12.5703125" style="25" bestFit="1" customWidth="1"/>
    <col min="2823" max="2823" width="3.7109375" style="25" customWidth="1"/>
    <col min="2824" max="2824" width="15.7109375" style="25" customWidth="1"/>
    <col min="2825" max="2825" width="5" style="25" customWidth="1"/>
    <col min="2826" max="2827" width="15.7109375" style="25" customWidth="1"/>
    <col min="2828" max="2828" width="5" style="25" customWidth="1"/>
    <col min="2829" max="2829" width="16.7109375" style="25" customWidth="1"/>
    <col min="2830" max="2830" width="0" style="25" hidden="1" customWidth="1"/>
    <col min="2831" max="2831" width="4.42578125" style="25" customWidth="1"/>
    <col min="2832" max="2832" width="16.7109375" style="25" customWidth="1"/>
    <col min="2833" max="2833" width="4.42578125" style="25" customWidth="1"/>
    <col min="2834" max="2834" width="16.7109375" style="25" customWidth="1"/>
    <col min="2835" max="2835" width="9.140625" style="25"/>
    <col min="2836" max="2837" width="0" style="25" hidden="1" customWidth="1"/>
    <col min="2838" max="2838" width="9.28515625" style="25" bestFit="1" customWidth="1"/>
    <col min="2839" max="3072" width="9.140625" style="25"/>
    <col min="3073" max="3073" width="4.28515625" style="25" customWidth="1"/>
    <col min="3074" max="3074" width="6.140625" style="25" bestFit="1" customWidth="1"/>
    <col min="3075" max="3075" width="28.140625" style="25" bestFit="1" customWidth="1"/>
    <col min="3076" max="3076" width="12.5703125" style="25" bestFit="1" customWidth="1"/>
    <col min="3077" max="3077" width="8.7109375" style="25" bestFit="1" customWidth="1"/>
    <col min="3078" max="3078" width="12.5703125" style="25" bestFit="1" customWidth="1"/>
    <col min="3079" max="3079" width="3.7109375" style="25" customWidth="1"/>
    <col min="3080" max="3080" width="15.7109375" style="25" customWidth="1"/>
    <col min="3081" max="3081" width="5" style="25" customWidth="1"/>
    <col min="3082" max="3083" width="15.7109375" style="25" customWidth="1"/>
    <col min="3084" max="3084" width="5" style="25" customWidth="1"/>
    <col min="3085" max="3085" width="16.7109375" style="25" customWidth="1"/>
    <col min="3086" max="3086" width="0" style="25" hidden="1" customWidth="1"/>
    <col min="3087" max="3087" width="4.42578125" style="25" customWidth="1"/>
    <col min="3088" max="3088" width="16.7109375" style="25" customWidth="1"/>
    <col min="3089" max="3089" width="4.42578125" style="25" customWidth="1"/>
    <col min="3090" max="3090" width="16.7109375" style="25" customWidth="1"/>
    <col min="3091" max="3091" width="9.140625" style="25"/>
    <col min="3092" max="3093" width="0" style="25" hidden="1" customWidth="1"/>
    <col min="3094" max="3094" width="9.28515625" style="25" bestFit="1" customWidth="1"/>
    <col min="3095" max="3328" width="9.140625" style="25"/>
    <col min="3329" max="3329" width="4.28515625" style="25" customWidth="1"/>
    <col min="3330" max="3330" width="6.140625" style="25" bestFit="1" customWidth="1"/>
    <col min="3331" max="3331" width="28.140625" style="25" bestFit="1" customWidth="1"/>
    <col min="3332" max="3332" width="12.5703125" style="25" bestFit="1" customWidth="1"/>
    <col min="3333" max="3333" width="8.7109375" style="25" bestFit="1" customWidth="1"/>
    <col min="3334" max="3334" width="12.5703125" style="25" bestFit="1" customWidth="1"/>
    <col min="3335" max="3335" width="3.7109375" style="25" customWidth="1"/>
    <col min="3336" max="3336" width="15.7109375" style="25" customWidth="1"/>
    <col min="3337" max="3337" width="5" style="25" customWidth="1"/>
    <col min="3338" max="3339" width="15.7109375" style="25" customWidth="1"/>
    <col min="3340" max="3340" width="5" style="25" customWidth="1"/>
    <col min="3341" max="3341" width="16.7109375" style="25" customWidth="1"/>
    <col min="3342" max="3342" width="0" style="25" hidden="1" customWidth="1"/>
    <col min="3343" max="3343" width="4.42578125" style="25" customWidth="1"/>
    <col min="3344" max="3344" width="16.7109375" style="25" customWidth="1"/>
    <col min="3345" max="3345" width="4.42578125" style="25" customWidth="1"/>
    <col min="3346" max="3346" width="16.7109375" style="25" customWidth="1"/>
    <col min="3347" max="3347" width="9.140625" style="25"/>
    <col min="3348" max="3349" width="0" style="25" hidden="1" customWidth="1"/>
    <col min="3350" max="3350" width="9.28515625" style="25" bestFit="1" customWidth="1"/>
    <col min="3351" max="3584" width="9.140625" style="25"/>
    <col min="3585" max="3585" width="4.28515625" style="25" customWidth="1"/>
    <col min="3586" max="3586" width="6.140625" style="25" bestFit="1" customWidth="1"/>
    <col min="3587" max="3587" width="28.140625" style="25" bestFit="1" customWidth="1"/>
    <col min="3588" max="3588" width="12.5703125" style="25" bestFit="1" customWidth="1"/>
    <col min="3589" max="3589" width="8.7109375" style="25" bestFit="1" customWidth="1"/>
    <col min="3590" max="3590" width="12.5703125" style="25" bestFit="1" customWidth="1"/>
    <col min="3591" max="3591" width="3.7109375" style="25" customWidth="1"/>
    <col min="3592" max="3592" width="15.7109375" style="25" customWidth="1"/>
    <col min="3593" max="3593" width="5" style="25" customWidth="1"/>
    <col min="3594" max="3595" width="15.7109375" style="25" customWidth="1"/>
    <col min="3596" max="3596" width="5" style="25" customWidth="1"/>
    <col min="3597" max="3597" width="16.7109375" style="25" customWidth="1"/>
    <col min="3598" max="3598" width="0" style="25" hidden="1" customWidth="1"/>
    <col min="3599" max="3599" width="4.42578125" style="25" customWidth="1"/>
    <col min="3600" max="3600" width="16.7109375" style="25" customWidth="1"/>
    <col min="3601" max="3601" width="4.42578125" style="25" customWidth="1"/>
    <col min="3602" max="3602" width="16.7109375" style="25" customWidth="1"/>
    <col min="3603" max="3603" width="9.140625" style="25"/>
    <col min="3604" max="3605" width="0" style="25" hidden="1" customWidth="1"/>
    <col min="3606" max="3606" width="9.28515625" style="25" bestFit="1" customWidth="1"/>
    <col min="3607" max="3840" width="9.140625" style="25"/>
    <col min="3841" max="3841" width="4.28515625" style="25" customWidth="1"/>
    <col min="3842" max="3842" width="6.140625" style="25" bestFit="1" customWidth="1"/>
    <col min="3843" max="3843" width="28.140625" style="25" bestFit="1" customWidth="1"/>
    <col min="3844" max="3844" width="12.5703125" style="25" bestFit="1" customWidth="1"/>
    <col min="3845" max="3845" width="8.7109375" style="25" bestFit="1" customWidth="1"/>
    <col min="3846" max="3846" width="12.5703125" style="25" bestFit="1" customWidth="1"/>
    <col min="3847" max="3847" width="3.7109375" style="25" customWidth="1"/>
    <col min="3848" max="3848" width="15.7109375" style="25" customWidth="1"/>
    <col min="3849" max="3849" width="5" style="25" customWidth="1"/>
    <col min="3850" max="3851" width="15.7109375" style="25" customWidth="1"/>
    <col min="3852" max="3852" width="5" style="25" customWidth="1"/>
    <col min="3853" max="3853" width="16.7109375" style="25" customWidth="1"/>
    <col min="3854" max="3854" width="0" style="25" hidden="1" customWidth="1"/>
    <col min="3855" max="3855" width="4.42578125" style="25" customWidth="1"/>
    <col min="3856" max="3856" width="16.7109375" style="25" customWidth="1"/>
    <col min="3857" max="3857" width="4.42578125" style="25" customWidth="1"/>
    <col min="3858" max="3858" width="16.7109375" style="25" customWidth="1"/>
    <col min="3859" max="3859" width="9.140625" style="25"/>
    <col min="3860" max="3861" width="0" style="25" hidden="1" customWidth="1"/>
    <col min="3862" max="3862" width="9.28515625" style="25" bestFit="1" customWidth="1"/>
    <col min="3863" max="4096" width="9.140625" style="25"/>
    <col min="4097" max="4097" width="4.28515625" style="25" customWidth="1"/>
    <col min="4098" max="4098" width="6.140625" style="25" bestFit="1" customWidth="1"/>
    <col min="4099" max="4099" width="28.140625" style="25" bestFit="1" customWidth="1"/>
    <col min="4100" max="4100" width="12.5703125" style="25" bestFit="1" customWidth="1"/>
    <col min="4101" max="4101" width="8.7109375" style="25" bestFit="1" customWidth="1"/>
    <col min="4102" max="4102" width="12.5703125" style="25" bestFit="1" customWidth="1"/>
    <col min="4103" max="4103" width="3.7109375" style="25" customWidth="1"/>
    <col min="4104" max="4104" width="15.7109375" style="25" customWidth="1"/>
    <col min="4105" max="4105" width="5" style="25" customWidth="1"/>
    <col min="4106" max="4107" width="15.7109375" style="25" customWidth="1"/>
    <col min="4108" max="4108" width="5" style="25" customWidth="1"/>
    <col min="4109" max="4109" width="16.7109375" style="25" customWidth="1"/>
    <col min="4110" max="4110" width="0" style="25" hidden="1" customWidth="1"/>
    <col min="4111" max="4111" width="4.42578125" style="25" customWidth="1"/>
    <col min="4112" max="4112" width="16.7109375" style="25" customWidth="1"/>
    <col min="4113" max="4113" width="4.42578125" style="25" customWidth="1"/>
    <col min="4114" max="4114" width="16.7109375" style="25" customWidth="1"/>
    <col min="4115" max="4115" width="9.140625" style="25"/>
    <col min="4116" max="4117" width="0" style="25" hidden="1" customWidth="1"/>
    <col min="4118" max="4118" width="9.28515625" style="25" bestFit="1" customWidth="1"/>
    <col min="4119" max="4352" width="9.140625" style="25"/>
    <col min="4353" max="4353" width="4.28515625" style="25" customWidth="1"/>
    <col min="4354" max="4354" width="6.140625" style="25" bestFit="1" customWidth="1"/>
    <col min="4355" max="4355" width="28.140625" style="25" bestFit="1" customWidth="1"/>
    <col min="4356" max="4356" width="12.5703125" style="25" bestFit="1" customWidth="1"/>
    <col min="4357" max="4357" width="8.7109375" style="25" bestFit="1" customWidth="1"/>
    <col min="4358" max="4358" width="12.5703125" style="25" bestFit="1" customWidth="1"/>
    <col min="4359" max="4359" width="3.7109375" style="25" customWidth="1"/>
    <col min="4360" max="4360" width="15.7109375" style="25" customWidth="1"/>
    <col min="4361" max="4361" width="5" style="25" customWidth="1"/>
    <col min="4362" max="4363" width="15.7109375" style="25" customWidth="1"/>
    <col min="4364" max="4364" width="5" style="25" customWidth="1"/>
    <col min="4365" max="4365" width="16.7109375" style="25" customWidth="1"/>
    <col min="4366" max="4366" width="0" style="25" hidden="1" customWidth="1"/>
    <col min="4367" max="4367" width="4.42578125" style="25" customWidth="1"/>
    <col min="4368" max="4368" width="16.7109375" style="25" customWidth="1"/>
    <col min="4369" max="4369" width="4.42578125" style="25" customWidth="1"/>
    <col min="4370" max="4370" width="16.7109375" style="25" customWidth="1"/>
    <col min="4371" max="4371" width="9.140625" style="25"/>
    <col min="4372" max="4373" width="0" style="25" hidden="1" customWidth="1"/>
    <col min="4374" max="4374" width="9.28515625" style="25" bestFit="1" customWidth="1"/>
    <col min="4375" max="4608" width="9.140625" style="25"/>
    <col min="4609" max="4609" width="4.28515625" style="25" customWidth="1"/>
    <col min="4610" max="4610" width="6.140625" style="25" bestFit="1" customWidth="1"/>
    <col min="4611" max="4611" width="28.140625" style="25" bestFit="1" customWidth="1"/>
    <col min="4612" max="4612" width="12.5703125" style="25" bestFit="1" customWidth="1"/>
    <col min="4613" max="4613" width="8.7109375" style="25" bestFit="1" customWidth="1"/>
    <col min="4614" max="4614" width="12.5703125" style="25" bestFit="1" customWidth="1"/>
    <col min="4615" max="4615" width="3.7109375" style="25" customWidth="1"/>
    <col min="4616" max="4616" width="15.7109375" style="25" customWidth="1"/>
    <col min="4617" max="4617" width="5" style="25" customWidth="1"/>
    <col min="4618" max="4619" width="15.7109375" style="25" customWidth="1"/>
    <col min="4620" max="4620" width="5" style="25" customWidth="1"/>
    <col min="4621" max="4621" width="16.7109375" style="25" customWidth="1"/>
    <col min="4622" max="4622" width="0" style="25" hidden="1" customWidth="1"/>
    <col min="4623" max="4623" width="4.42578125" style="25" customWidth="1"/>
    <col min="4624" max="4624" width="16.7109375" style="25" customWidth="1"/>
    <col min="4625" max="4625" width="4.42578125" style="25" customWidth="1"/>
    <col min="4626" max="4626" width="16.7109375" style="25" customWidth="1"/>
    <col min="4627" max="4627" width="9.140625" style="25"/>
    <col min="4628" max="4629" width="0" style="25" hidden="1" customWidth="1"/>
    <col min="4630" max="4630" width="9.28515625" style="25" bestFit="1" customWidth="1"/>
    <col min="4631" max="4864" width="9.140625" style="25"/>
    <col min="4865" max="4865" width="4.28515625" style="25" customWidth="1"/>
    <col min="4866" max="4866" width="6.140625" style="25" bestFit="1" customWidth="1"/>
    <col min="4867" max="4867" width="28.140625" style="25" bestFit="1" customWidth="1"/>
    <col min="4868" max="4868" width="12.5703125" style="25" bestFit="1" customWidth="1"/>
    <col min="4869" max="4869" width="8.7109375" style="25" bestFit="1" customWidth="1"/>
    <col min="4870" max="4870" width="12.5703125" style="25" bestFit="1" customWidth="1"/>
    <col min="4871" max="4871" width="3.7109375" style="25" customWidth="1"/>
    <col min="4872" max="4872" width="15.7109375" style="25" customWidth="1"/>
    <col min="4873" max="4873" width="5" style="25" customWidth="1"/>
    <col min="4874" max="4875" width="15.7109375" style="25" customWidth="1"/>
    <col min="4876" max="4876" width="5" style="25" customWidth="1"/>
    <col min="4877" max="4877" width="16.7109375" style="25" customWidth="1"/>
    <col min="4878" max="4878" width="0" style="25" hidden="1" customWidth="1"/>
    <col min="4879" max="4879" width="4.42578125" style="25" customWidth="1"/>
    <col min="4880" max="4880" width="16.7109375" style="25" customWidth="1"/>
    <col min="4881" max="4881" width="4.42578125" style="25" customWidth="1"/>
    <col min="4882" max="4882" width="16.7109375" style="25" customWidth="1"/>
    <col min="4883" max="4883" width="9.140625" style="25"/>
    <col min="4884" max="4885" width="0" style="25" hidden="1" customWidth="1"/>
    <col min="4886" max="4886" width="9.28515625" style="25" bestFit="1" customWidth="1"/>
    <col min="4887" max="5120" width="9.140625" style="25"/>
    <col min="5121" max="5121" width="4.28515625" style="25" customWidth="1"/>
    <col min="5122" max="5122" width="6.140625" style="25" bestFit="1" customWidth="1"/>
    <col min="5123" max="5123" width="28.140625" style="25" bestFit="1" customWidth="1"/>
    <col min="5124" max="5124" width="12.5703125" style="25" bestFit="1" customWidth="1"/>
    <col min="5125" max="5125" width="8.7109375" style="25" bestFit="1" customWidth="1"/>
    <col min="5126" max="5126" width="12.5703125" style="25" bestFit="1" customWidth="1"/>
    <col min="5127" max="5127" width="3.7109375" style="25" customWidth="1"/>
    <col min="5128" max="5128" width="15.7109375" style="25" customWidth="1"/>
    <col min="5129" max="5129" width="5" style="25" customWidth="1"/>
    <col min="5130" max="5131" width="15.7109375" style="25" customWidth="1"/>
    <col min="5132" max="5132" width="5" style="25" customWidth="1"/>
    <col min="5133" max="5133" width="16.7109375" style="25" customWidth="1"/>
    <col min="5134" max="5134" width="0" style="25" hidden="1" customWidth="1"/>
    <col min="5135" max="5135" width="4.42578125" style="25" customWidth="1"/>
    <col min="5136" max="5136" width="16.7109375" style="25" customWidth="1"/>
    <col min="5137" max="5137" width="4.42578125" style="25" customWidth="1"/>
    <col min="5138" max="5138" width="16.7109375" style="25" customWidth="1"/>
    <col min="5139" max="5139" width="9.140625" style="25"/>
    <col min="5140" max="5141" width="0" style="25" hidden="1" customWidth="1"/>
    <col min="5142" max="5142" width="9.28515625" style="25" bestFit="1" customWidth="1"/>
    <col min="5143" max="5376" width="9.140625" style="25"/>
    <col min="5377" max="5377" width="4.28515625" style="25" customWidth="1"/>
    <col min="5378" max="5378" width="6.140625" style="25" bestFit="1" customWidth="1"/>
    <col min="5379" max="5379" width="28.140625" style="25" bestFit="1" customWidth="1"/>
    <col min="5380" max="5380" width="12.5703125" style="25" bestFit="1" customWidth="1"/>
    <col min="5381" max="5381" width="8.7109375" style="25" bestFit="1" customWidth="1"/>
    <col min="5382" max="5382" width="12.5703125" style="25" bestFit="1" customWidth="1"/>
    <col min="5383" max="5383" width="3.7109375" style="25" customWidth="1"/>
    <col min="5384" max="5384" width="15.7109375" style="25" customWidth="1"/>
    <col min="5385" max="5385" width="5" style="25" customWidth="1"/>
    <col min="5386" max="5387" width="15.7109375" style="25" customWidth="1"/>
    <col min="5388" max="5388" width="5" style="25" customWidth="1"/>
    <col min="5389" max="5389" width="16.7109375" style="25" customWidth="1"/>
    <col min="5390" max="5390" width="0" style="25" hidden="1" customWidth="1"/>
    <col min="5391" max="5391" width="4.42578125" style="25" customWidth="1"/>
    <col min="5392" max="5392" width="16.7109375" style="25" customWidth="1"/>
    <col min="5393" max="5393" width="4.42578125" style="25" customWidth="1"/>
    <col min="5394" max="5394" width="16.7109375" style="25" customWidth="1"/>
    <col min="5395" max="5395" width="9.140625" style="25"/>
    <col min="5396" max="5397" width="0" style="25" hidden="1" customWidth="1"/>
    <col min="5398" max="5398" width="9.28515625" style="25" bestFit="1" customWidth="1"/>
    <col min="5399" max="5632" width="9.140625" style="25"/>
    <col min="5633" max="5633" width="4.28515625" style="25" customWidth="1"/>
    <col min="5634" max="5634" width="6.140625" style="25" bestFit="1" customWidth="1"/>
    <col min="5635" max="5635" width="28.140625" style="25" bestFit="1" customWidth="1"/>
    <col min="5636" max="5636" width="12.5703125" style="25" bestFit="1" customWidth="1"/>
    <col min="5637" max="5637" width="8.7109375" style="25" bestFit="1" customWidth="1"/>
    <col min="5638" max="5638" width="12.5703125" style="25" bestFit="1" customWidth="1"/>
    <col min="5639" max="5639" width="3.7109375" style="25" customWidth="1"/>
    <col min="5640" max="5640" width="15.7109375" style="25" customWidth="1"/>
    <col min="5641" max="5641" width="5" style="25" customWidth="1"/>
    <col min="5642" max="5643" width="15.7109375" style="25" customWidth="1"/>
    <col min="5644" max="5644" width="5" style="25" customWidth="1"/>
    <col min="5645" max="5645" width="16.7109375" style="25" customWidth="1"/>
    <col min="5646" max="5646" width="0" style="25" hidden="1" customWidth="1"/>
    <col min="5647" max="5647" width="4.42578125" style="25" customWidth="1"/>
    <col min="5648" max="5648" width="16.7109375" style="25" customWidth="1"/>
    <col min="5649" max="5649" width="4.42578125" style="25" customWidth="1"/>
    <col min="5650" max="5650" width="16.7109375" style="25" customWidth="1"/>
    <col min="5651" max="5651" width="9.140625" style="25"/>
    <col min="5652" max="5653" width="0" style="25" hidden="1" customWidth="1"/>
    <col min="5654" max="5654" width="9.28515625" style="25" bestFit="1" customWidth="1"/>
    <col min="5655" max="5888" width="9.140625" style="25"/>
    <col min="5889" max="5889" width="4.28515625" style="25" customWidth="1"/>
    <col min="5890" max="5890" width="6.140625" style="25" bestFit="1" customWidth="1"/>
    <col min="5891" max="5891" width="28.140625" style="25" bestFit="1" customWidth="1"/>
    <col min="5892" max="5892" width="12.5703125" style="25" bestFit="1" customWidth="1"/>
    <col min="5893" max="5893" width="8.7109375" style="25" bestFit="1" customWidth="1"/>
    <col min="5894" max="5894" width="12.5703125" style="25" bestFit="1" customWidth="1"/>
    <col min="5895" max="5895" width="3.7109375" style="25" customWidth="1"/>
    <col min="5896" max="5896" width="15.7109375" style="25" customWidth="1"/>
    <col min="5897" max="5897" width="5" style="25" customWidth="1"/>
    <col min="5898" max="5899" width="15.7109375" style="25" customWidth="1"/>
    <col min="5900" max="5900" width="5" style="25" customWidth="1"/>
    <col min="5901" max="5901" width="16.7109375" style="25" customWidth="1"/>
    <col min="5902" max="5902" width="0" style="25" hidden="1" customWidth="1"/>
    <col min="5903" max="5903" width="4.42578125" style="25" customWidth="1"/>
    <col min="5904" max="5904" width="16.7109375" style="25" customWidth="1"/>
    <col min="5905" max="5905" width="4.42578125" style="25" customWidth="1"/>
    <col min="5906" max="5906" width="16.7109375" style="25" customWidth="1"/>
    <col min="5907" max="5907" width="9.140625" style="25"/>
    <col min="5908" max="5909" width="0" style="25" hidden="1" customWidth="1"/>
    <col min="5910" max="5910" width="9.28515625" style="25" bestFit="1" customWidth="1"/>
    <col min="5911" max="6144" width="9.140625" style="25"/>
    <col min="6145" max="6145" width="4.28515625" style="25" customWidth="1"/>
    <col min="6146" max="6146" width="6.140625" style="25" bestFit="1" customWidth="1"/>
    <col min="6147" max="6147" width="28.140625" style="25" bestFit="1" customWidth="1"/>
    <col min="6148" max="6148" width="12.5703125" style="25" bestFit="1" customWidth="1"/>
    <col min="6149" max="6149" width="8.7109375" style="25" bestFit="1" customWidth="1"/>
    <col min="6150" max="6150" width="12.5703125" style="25" bestFit="1" customWidth="1"/>
    <col min="6151" max="6151" width="3.7109375" style="25" customWidth="1"/>
    <col min="6152" max="6152" width="15.7109375" style="25" customWidth="1"/>
    <col min="6153" max="6153" width="5" style="25" customWidth="1"/>
    <col min="6154" max="6155" width="15.7109375" style="25" customWidth="1"/>
    <col min="6156" max="6156" width="5" style="25" customWidth="1"/>
    <col min="6157" max="6157" width="16.7109375" style="25" customWidth="1"/>
    <col min="6158" max="6158" width="0" style="25" hidden="1" customWidth="1"/>
    <col min="6159" max="6159" width="4.42578125" style="25" customWidth="1"/>
    <col min="6160" max="6160" width="16.7109375" style="25" customWidth="1"/>
    <col min="6161" max="6161" width="4.42578125" style="25" customWidth="1"/>
    <col min="6162" max="6162" width="16.7109375" style="25" customWidth="1"/>
    <col min="6163" max="6163" width="9.140625" style="25"/>
    <col min="6164" max="6165" width="0" style="25" hidden="1" customWidth="1"/>
    <col min="6166" max="6166" width="9.28515625" style="25" bestFit="1" customWidth="1"/>
    <col min="6167" max="6400" width="9.140625" style="25"/>
    <col min="6401" max="6401" width="4.28515625" style="25" customWidth="1"/>
    <col min="6402" max="6402" width="6.140625" style="25" bestFit="1" customWidth="1"/>
    <col min="6403" max="6403" width="28.140625" style="25" bestFit="1" customWidth="1"/>
    <col min="6404" max="6404" width="12.5703125" style="25" bestFit="1" customWidth="1"/>
    <col min="6405" max="6405" width="8.7109375" style="25" bestFit="1" customWidth="1"/>
    <col min="6406" max="6406" width="12.5703125" style="25" bestFit="1" customWidth="1"/>
    <col min="6407" max="6407" width="3.7109375" style="25" customWidth="1"/>
    <col min="6408" max="6408" width="15.7109375" style="25" customWidth="1"/>
    <col min="6409" max="6409" width="5" style="25" customWidth="1"/>
    <col min="6410" max="6411" width="15.7109375" style="25" customWidth="1"/>
    <col min="6412" max="6412" width="5" style="25" customWidth="1"/>
    <col min="6413" max="6413" width="16.7109375" style="25" customWidth="1"/>
    <col min="6414" max="6414" width="0" style="25" hidden="1" customWidth="1"/>
    <col min="6415" max="6415" width="4.42578125" style="25" customWidth="1"/>
    <col min="6416" max="6416" width="16.7109375" style="25" customWidth="1"/>
    <col min="6417" max="6417" width="4.42578125" style="25" customWidth="1"/>
    <col min="6418" max="6418" width="16.7109375" style="25" customWidth="1"/>
    <col min="6419" max="6419" width="9.140625" style="25"/>
    <col min="6420" max="6421" width="0" style="25" hidden="1" customWidth="1"/>
    <col min="6422" max="6422" width="9.28515625" style="25" bestFit="1" customWidth="1"/>
    <col min="6423" max="6656" width="9.140625" style="25"/>
    <col min="6657" max="6657" width="4.28515625" style="25" customWidth="1"/>
    <col min="6658" max="6658" width="6.140625" style="25" bestFit="1" customWidth="1"/>
    <col min="6659" max="6659" width="28.140625" style="25" bestFit="1" customWidth="1"/>
    <col min="6660" max="6660" width="12.5703125" style="25" bestFit="1" customWidth="1"/>
    <col min="6661" max="6661" width="8.7109375" style="25" bestFit="1" customWidth="1"/>
    <col min="6662" max="6662" width="12.5703125" style="25" bestFit="1" customWidth="1"/>
    <col min="6663" max="6663" width="3.7109375" style="25" customWidth="1"/>
    <col min="6664" max="6664" width="15.7109375" style="25" customWidth="1"/>
    <col min="6665" max="6665" width="5" style="25" customWidth="1"/>
    <col min="6666" max="6667" width="15.7109375" style="25" customWidth="1"/>
    <col min="6668" max="6668" width="5" style="25" customWidth="1"/>
    <col min="6669" max="6669" width="16.7109375" style="25" customWidth="1"/>
    <col min="6670" max="6670" width="0" style="25" hidden="1" customWidth="1"/>
    <col min="6671" max="6671" width="4.42578125" style="25" customWidth="1"/>
    <col min="6672" max="6672" width="16.7109375" style="25" customWidth="1"/>
    <col min="6673" max="6673" width="4.42578125" style="25" customWidth="1"/>
    <col min="6674" max="6674" width="16.7109375" style="25" customWidth="1"/>
    <col min="6675" max="6675" width="9.140625" style="25"/>
    <col min="6676" max="6677" width="0" style="25" hidden="1" customWidth="1"/>
    <col min="6678" max="6678" width="9.28515625" style="25" bestFit="1" customWidth="1"/>
    <col min="6679" max="6912" width="9.140625" style="25"/>
    <col min="6913" max="6913" width="4.28515625" style="25" customWidth="1"/>
    <col min="6914" max="6914" width="6.140625" style="25" bestFit="1" customWidth="1"/>
    <col min="6915" max="6915" width="28.140625" style="25" bestFit="1" customWidth="1"/>
    <col min="6916" max="6916" width="12.5703125" style="25" bestFit="1" customWidth="1"/>
    <col min="6917" max="6917" width="8.7109375" style="25" bestFit="1" customWidth="1"/>
    <col min="6918" max="6918" width="12.5703125" style="25" bestFit="1" customWidth="1"/>
    <col min="6919" max="6919" width="3.7109375" style="25" customWidth="1"/>
    <col min="6920" max="6920" width="15.7109375" style="25" customWidth="1"/>
    <col min="6921" max="6921" width="5" style="25" customWidth="1"/>
    <col min="6922" max="6923" width="15.7109375" style="25" customWidth="1"/>
    <col min="6924" max="6924" width="5" style="25" customWidth="1"/>
    <col min="6925" max="6925" width="16.7109375" style="25" customWidth="1"/>
    <col min="6926" max="6926" width="0" style="25" hidden="1" customWidth="1"/>
    <col min="6927" max="6927" width="4.42578125" style="25" customWidth="1"/>
    <col min="6928" max="6928" width="16.7109375" style="25" customWidth="1"/>
    <col min="6929" max="6929" width="4.42578125" style="25" customWidth="1"/>
    <col min="6930" max="6930" width="16.7109375" style="25" customWidth="1"/>
    <col min="6931" max="6931" width="9.140625" style="25"/>
    <col min="6932" max="6933" width="0" style="25" hidden="1" customWidth="1"/>
    <col min="6934" max="6934" width="9.28515625" style="25" bestFit="1" customWidth="1"/>
    <col min="6935" max="7168" width="9.140625" style="25"/>
    <col min="7169" max="7169" width="4.28515625" style="25" customWidth="1"/>
    <col min="7170" max="7170" width="6.140625" style="25" bestFit="1" customWidth="1"/>
    <col min="7171" max="7171" width="28.140625" style="25" bestFit="1" customWidth="1"/>
    <col min="7172" max="7172" width="12.5703125" style="25" bestFit="1" customWidth="1"/>
    <col min="7173" max="7173" width="8.7109375" style="25" bestFit="1" customWidth="1"/>
    <col min="7174" max="7174" width="12.5703125" style="25" bestFit="1" customWidth="1"/>
    <col min="7175" max="7175" width="3.7109375" style="25" customWidth="1"/>
    <col min="7176" max="7176" width="15.7109375" style="25" customWidth="1"/>
    <col min="7177" max="7177" width="5" style="25" customWidth="1"/>
    <col min="7178" max="7179" width="15.7109375" style="25" customWidth="1"/>
    <col min="7180" max="7180" width="5" style="25" customWidth="1"/>
    <col min="7181" max="7181" width="16.7109375" style="25" customWidth="1"/>
    <col min="7182" max="7182" width="0" style="25" hidden="1" customWidth="1"/>
    <col min="7183" max="7183" width="4.42578125" style="25" customWidth="1"/>
    <col min="7184" max="7184" width="16.7109375" style="25" customWidth="1"/>
    <col min="7185" max="7185" width="4.42578125" style="25" customWidth="1"/>
    <col min="7186" max="7186" width="16.7109375" style="25" customWidth="1"/>
    <col min="7187" max="7187" width="9.140625" style="25"/>
    <col min="7188" max="7189" width="0" style="25" hidden="1" customWidth="1"/>
    <col min="7190" max="7190" width="9.28515625" style="25" bestFit="1" customWidth="1"/>
    <col min="7191" max="7424" width="9.140625" style="25"/>
    <col min="7425" max="7425" width="4.28515625" style="25" customWidth="1"/>
    <col min="7426" max="7426" width="6.140625" style="25" bestFit="1" customWidth="1"/>
    <col min="7427" max="7427" width="28.140625" style="25" bestFit="1" customWidth="1"/>
    <col min="7428" max="7428" width="12.5703125" style="25" bestFit="1" customWidth="1"/>
    <col min="7429" max="7429" width="8.7109375" style="25" bestFit="1" customWidth="1"/>
    <col min="7430" max="7430" width="12.5703125" style="25" bestFit="1" customWidth="1"/>
    <col min="7431" max="7431" width="3.7109375" style="25" customWidth="1"/>
    <col min="7432" max="7432" width="15.7109375" style="25" customWidth="1"/>
    <col min="7433" max="7433" width="5" style="25" customWidth="1"/>
    <col min="7434" max="7435" width="15.7109375" style="25" customWidth="1"/>
    <col min="7436" max="7436" width="5" style="25" customWidth="1"/>
    <col min="7437" max="7437" width="16.7109375" style="25" customWidth="1"/>
    <col min="7438" max="7438" width="0" style="25" hidden="1" customWidth="1"/>
    <col min="7439" max="7439" width="4.42578125" style="25" customWidth="1"/>
    <col min="7440" max="7440" width="16.7109375" style="25" customWidth="1"/>
    <col min="7441" max="7441" width="4.42578125" style="25" customWidth="1"/>
    <col min="7442" max="7442" width="16.7109375" style="25" customWidth="1"/>
    <col min="7443" max="7443" width="9.140625" style="25"/>
    <col min="7444" max="7445" width="0" style="25" hidden="1" customWidth="1"/>
    <col min="7446" max="7446" width="9.28515625" style="25" bestFit="1" customWidth="1"/>
    <col min="7447" max="7680" width="9.140625" style="25"/>
    <col min="7681" max="7681" width="4.28515625" style="25" customWidth="1"/>
    <col min="7682" max="7682" width="6.140625" style="25" bestFit="1" customWidth="1"/>
    <col min="7683" max="7683" width="28.140625" style="25" bestFit="1" customWidth="1"/>
    <col min="7684" max="7684" width="12.5703125" style="25" bestFit="1" customWidth="1"/>
    <col min="7685" max="7685" width="8.7109375" style="25" bestFit="1" customWidth="1"/>
    <col min="7686" max="7686" width="12.5703125" style="25" bestFit="1" customWidth="1"/>
    <col min="7687" max="7687" width="3.7109375" style="25" customWidth="1"/>
    <col min="7688" max="7688" width="15.7109375" style="25" customWidth="1"/>
    <col min="7689" max="7689" width="5" style="25" customWidth="1"/>
    <col min="7690" max="7691" width="15.7109375" style="25" customWidth="1"/>
    <col min="7692" max="7692" width="5" style="25" customWidth="1"/>
    <col min="7693" max="7693" width="16.7109375" style="25" customWidth="1"/>
    <col min="7694" max="7694" width="0" style="25" hidden="1" customWidth="1"/>
    <col min="7695" max="7695" width="4.42578125" style="25" customWidth="1"/>
    <col min="7696" max="7696" width="16.7109375" style="25" customWidth="1"/>
    <col min="7697" max="7697" width="4.42578125" style="25" customWidth="1"/>
    <col min="7698" max="7698" width="16.7109375" style="25" customWidth="1"/>
    <col min="7699" max="7699" width="9.140625" style="25"/>
    <col min="7700" max="7701" width="0" style="25" hidden="1" customWidth="1"/>
    <col min="7702" max="7702" width="9.28515625" style="25" bestFit="1" customWidth="1"/>
    <col min="7703" max="7936" width="9.140625" style="25"/>
    <col min="7937" max="7937" width="4.28515625" style="25" customWidth="1"/>
    <col min="7938" max="7938" width="6.140625" style="25" bestFit="1" customWidth="1"/>
    <col min="7939" max="7939" width="28.140625" style="25" bestFit="1" customWidth="1"/>
    <col min="7940" max="7940" width="12.5703125" style="25" bestFit="1" customWidth="1"/>
    <col min="7941" max="7941" width="8.7109375" style="25" bestFit="1" customWidth="1"/>
    <col min="7942" max="7942" width="12.5703125" style="25" bestFit="1" customWidth="1"/>
    <col min="7943" max="7943" width="3.7109375" style="25" customWidth="1"/>
    <col min="7944" max="7944" width="15.7109375" style="25" customWidth="1"/>
    <col min="7945" max="7945" width="5" style="25" customWidth="1"/>
    <col min="7946" max="7947" width="15.7109375" style="25" customWidth="1"/>
    <col min="7948" max="7948" width="5" style="25" customWidth="1"/>
    <col min="7949" max="7949" width="16.7109375" style="25" customWidth="1"/>
    <col min="7950" max="7950" width="0" style="25" hidden="1" customWidth="1"/>
    <col min="7951" max="7951" width="4.42578125" style="25" customWidth="1"/>
    <col min="7952" max="7952" width="16.7109375" style="25" customWidth="1"/>
    <col min="7953" max="7953" width="4.42578125" style="25" customWidth="1"/>
    <col min="7954" max="7954" width="16.7109375" style="25" customWidth="1"/>
    <col min="7955" max="7955" width="9.140625" style="25"/>
    <col min="7956" max="7957" width="0" style="25" hidden="1" customWidth="1"/>
    <col min="7958" max="7958" width="9.28515625" style="25" bestFit="1" customWidth="1"/>
    <col min="7959" max="8192" width="9.140625" style="25"/>
    <col min="8193" max="8193" width="4.28515625" style="25" customWidth="1"/>
    <col min="8194" max="8194" width="6.140625" style="25" bestFit="1" customWidth="1"/>
    <col min="8195" max="8195" width="28.140625" style="25" bestFit="1" customWidth="1"/>
    <col min="8196" max="8196" width="12.5703125" style="25" bestFit="1" customWidth="1"/>
    <col min="8197" max="8197" width="8.7109375" style="25" bestFit="1" customWidth="1"/>
    <col min="8198" max="8198" width="12.5703125" style="25" bestFit="1" customWidth="1"/>
    <col min="8199" max="8199" width="3.7109375" style="25" customWidth="1"/>
    <col min="8200" max="8200" width="15.7109375" style="25" customWidth="1"/>
    <col min="8201" max="8201" width="5" style="25" customWidth="1"/>
    <col min="8202" max="8203" width="15.7109375" style="25" customWidth="1"/>
    <col min="8204" max="8204" width="5" style="25" customWidth="1"/>
    <col min="8205" max="8205" width="16.7109375" style="25" customWidth="1"/>
    <col min="8206" max="8206" width="0" style="25" hidden="1" customWidth="1"/>
    <col min="8207" max="8207" width="4.42578125" style="25" customWidth="1"/>
    <col min="8208" max="8208" width="16.7109375" style="25" customWidth="1"/>
    <col min="8209" max="8209" width="4.42578125" style="25" customWidth="1"/>
    <col min="8210" max="8210" width="16.7109375" style="25" customWidth="1"/>
    <col min="8211" max="8211" width="9.140625" style="25"/>
    <col min="8212" max="8213" width="0" style="25" hidden="1" customWidth="1"/>
    <col min="8214" max="8214" width="9.28515625" style="25" bestFit="1" customWidth="1"/>
    <col min="8215" max="8448" width="9.140625" style="25"/>
    <col min="8449" max="8449" width="4.28515625" style="25" customWidth="1"/>
    <col min="8450" max="8450" width="6.140625" style="25" bestFit="1" customWidth="1"/>
    <col min="8451" max="8451" width="28.140625" style="25" bestFit="1" customWidth="1"/>
    <col min="8452" max="8452" width="12.5703125" style="25" bestFit="1" customWidth="1"/>
    <col min="8453" max="8453" width="8.7109375" style="25" bestFit="1" customWidth="1"/>
    <col min="8454" max="8454" width="12.5703125" style="25" bestFit="1" customWidth="1"/>
    <col min="8455" max="8455" width="3.7109375" style="25" customWidth="1"/>
    <col min="8456" max="8456" width="15.7109375" style="25" customWidth="1"/>
    <col min="8457" max="8457" width="5" style="25" customWidth="1"/>
    <col min="8458" max="8459" width="15.7109375" style="25" customWidth="1"/>
    <col min="8460" max="8460" width="5" style="25" customWidth="1"/>
    <col min="8461" max="8461" width="16.7109375" style="25" customWidth="1"/>
    <col min="8462" max="8462" width="0" style="25" hidden="1" customWidth="1"/>
    <col min="8463" max="8463" width="4.42578125" style="25" customWidth="1"/>
    <col min="8464" max="8464" width="16.7109375" style="25" customWidth="1"/>
    <col min="8465" max="8465" width="4.42578125" style="25" customWidth="1"/>
    <col min="8466" max="8466" width="16.7109375" style="25" customWidth="1"/>
    <col min="8467" max="8467" width="9.140625" style="25"/>
    <col min="8468" max="8469" width="0" style="25" hidden="1" customWidth="1"/>
    <col min="8470" max="8470" width="9.28515625" style="25" bestFit="1" customWidth="1"/>
    <col min="8471" max="8704" width="9.140625" style="25"/>
    <col min="8705" max="8705" width="4.28515625" style="25" customWidth="1"/>
    <col min="8706" max="8706" width="6.140625" style="25" bestFit="1" customWidth="1"/>
    <col min="8707" max="8707" width="28.140625" style="25" bestFit="1" customWidth="1"/>
    <col min="8708" max="8708" width="12.5703125" style="25" bestFit="1" customWidth="1"/>
    <col min="8709" max="8709" width="8.7109375" style="25" bestFit="1" customWidth="1"/>
    <col min="8710" max="8710" width="12.5703125" style="25" bestFit="1" customWidth="1"/>
    <col min="8711" max="8711" width="3.7109375" style="25" customWidth="1"/>
    <col min="8712" max="8712" width="15.7109375" style="25" customWidth="1"/>
    <col min="8713" max="8713" width="5" style="25" customWidth="1"/>
    <col min="8714" max="8715" width="15.7109375" style="25" customWidth="1"/>
    <col min="8716" max="8716" width="5" style="25" customWidth="1"/>
    <col min="8717" max="8717" width="16.7109375" style="25" customWidth="1"/>
    <col min="8718" max="8718" width="0" style="25" hidden="1" customWidth="1"/>
    <col min="8719" max="8719" width="4.42578125" style="25" customWidth="1"/>
    <col min="8720" max="8720" width="16.7109375" style="25" customWidth="1"/>
    <col min="8721" max="8721" width="4.42578125" style="25" customWidth="1"/>
    <col min="8722" max="8722" width="16.7109375" style="25" customWidth="1"/>
    <col min="8723" max="8723" width="9.140625" style="25"/>
    <col min="8724" max="8725" width="0" style="25" hidden="1" customWidth="1"/>
    <col min="8726" max="8726" width="9.28515625" style="25" bestFit="1" customWidth="1"/>
    <col min="8727" max="8960" width="9.140625" style="25"/>
    <col min="8961" max="8961" width="4.28515625" style="25" customWidth="1"/>
    <col min="8962" max="8962" width="6.140625" style="25" bestFit="1" customWidth="1"/>
    <col min="8963" max="8963" width="28.140625" style="25" bestFit="1" customWidth="1"/>
    <col min="8964" max="8964" width="12.5703125" style="25" bestFit="1" customWidth="1"/>
    <col min="8965" max="8965" width="8.7109375" style="25" bestFit="1" customWidth="1"/>
    <col min="8966" max="8966" width="12.5703125" style="25" bestFit="1" customWidth="1"/>
    <col min="8967" max="8967" width="3.7109375" style="25" customWidth="1"/>
    <col min="8968" max="8968" width="15.7109375" style="25" customWidth="1"/>
    <col min="8969" max="8969" width="5" style="25" customWidth="1"/>
    <col min="8970" max="8971" width="15.7109375" style="25" customWidth="1"/>
    <col min="8972" max="8972" width="5" style="25" customWidth="1"/>
    <col min="8973" max="8973" width="16.7109375" style="25" customWidth="1"/>
    <col min="8974" max="8974" width="0" style="25" hidden="1" customWidth="1"/>
    <col min="8975" max="8975" width="4.42578125" style="25" customWidth="1"/>
    <col min="8976" max="8976" width="16.7109375" style="25" customWidth="1"/>
    <col min="8977" max="8977" width="4.42578125" style="25" customWidth="1"/>
    <col min="8978" max="8978" width="16.7109375" style="25" customWidth="1"/>
    <col min="8979" max="8979" width="9.140625" style="25"/>
    <col min="8980" max="8981" width="0" style="25" hidden="1" customWidth="1"/>
    <col min="8982" max="8982" width="9.28515625" style="25" bestFit="1" customWidth="1"/>
    <col min="8983" max="9216" width="9.140625" style="25"/>
    <col min="9217" max="9217" width="4.28515625" style="25" customWidth="1"/>
    <col min="9218" max="9218" width="6.140625" style="25" bestFit="1" customWidth="1"/>
    <col min="9219" max="9219" width="28.140625" style="25" bestFit="1" customWidth="1"/>
    <col min="9220" max="9220" width="12.5703125" style="25" bestFit="1" customWidth="1"/>
    <col min="9221" max="9221" width="8.7109375" style="25" bestFit="1" customWidth="1"/>
    <col min="9222" max="9222" width="12.5703125" style="25" bestFit="1" customWidth="1"/>
    <col min="9223" max="9223" width="3.7109375" style="25" customWidth="1"/>
    <col min="9224" max="9224" width="15.7109375" style="25" customWidth="1"/>
    <col min="9225" max="9225" width="5" style="25" customWidth="1"/>
    <col min="9226" max="9227" width="15.7109375" style="25" customWidth="1"/>
    <col min="9228" max="9228" width="5" style="25" customWidth="1"/>
    <col min="9229" max="9229" width="16.7109375" style="25" customWidth="1"/>
    <col min="9230" max="9230" width="0" style="25" hidden="1" customWidth="1"/>
    <col min="9231" max="9231" width="4.42578125" style="25" customWidth="1"/>
    <col min="9232" max="9232" width="16.7109375" style="25" customWidth="1"/>
    <col min="9233" max="9233" width="4.42578125" style="25" customWidth="1"/>
    <col min="9234" max="9234" width="16.7109375" style="25" customWidth="1"/>
    <col min="9235" max="9235" width="9.140625" style="25"/>
    <col min="9236" max="9237" width="0" style="25" hidden="1" customWidth="1"/>
    <col min="9238" max="9238" width="9.28515625" style="25" bestFit="1" customWidth="1"/>
    <col min="9239" max="9472" width="9.140625" style="25"/>
    <col min="9473" max="9473" width="4.28515625" style="25" customWidth="1"/>
    <col min="9474" max="9474" width="6.140625" style="25" bestFit="1" customWidth="1"/>
    <col min="9475" max="9475" width="28.140625" style="25" bestFit="1" customWidth="1"/>
    <col min="9476" max="9476" width="12.5703125" style="25" bestFit="1" customWidth="1"/>
    <col min="9477" max="9477" width="8.7109375" style="25" bestFit="1" customWidth="1"/>
    <col min="9478" max="9478" width="12.5703125" style="25" bestFit="1" customWidth="1"/>
    <col min="9479" max="9479" width="3.7109375" style="25" customWidth="1"/>
    <col min="9480" max="9480" width="15.7109375" style="25" customWidth="1"/>
    <col min="9481" max="9481" width="5" style="25" customWidth="1"/>
    <col min="9482" max="9483" width="15.7109375" style="25" customWidth="1"/>
    <col min="9484" max="9484" width="5" style="25" customWidth="1"/>
    <col min="9485" max="9485" width="16.7109375" style="25" customWidth="1"/>
    <col min="9486" max="9486" width="0" style="25" hidden="1" customWidth="1"/>
    <col min="9487" max="9487" width="4.42578125" style="25" customWidth="1"/>
    <col min="9488" max="9488" width="16.7109375" style="25" customWidth="1"/>
    <col min="9489" max="9489" width="4.42578125" style="25" customWidth="1"/>
    <col min="9490" max="9490" width="16.7109375" style="25" customWidth="1"/>
    <col min="9491" max="9491" width="9.140625" style="25"/>
    <col min="9492" max="9493" width="0" style="25" hidden="1" customWidth="1"/>
    <col min="9494" max="9494" width="9.28515625" style="25" bestFit="1" customWidth="1"/>
    <col min="9495" max="9728" width="9.140625" style="25"/>
    <col min="9729" max="9729" width="4.28515625" style="25" customWidth="1"/>
    <col min="9730" max="9730" width="6.140625" style="25" bestFit="1" customWidth="1"/>
    <col min="9731" max="9731" width="28.140625" style="25" bestFit="1" customWidth="1"/>
    <col min="9732" max="9732" width="12.5703125" style="25" bestFit="1" customWidth="1"/>
    <col min="9733" max="9733" width="8.7109375" style="25" bestFit="1" customWidth="1"/>
    <col min="9734" max="9734" width="12.5703125" style="25" bestFit="1" customWidth="1"/>
    <col min="9735" max="9735" width="3.7109375" style="25" customWidth="1"/>
    <col min="9736" max="9736" width="15.7109375" style="25" customWidth="1"/>
    <col min="9737" max="9737" width="5" style="25" customWidth="1"/>
    <col min="9738" max="9739" width="15.7109375" style="25" customWidth="1"/>
    <col min="9740" max="9740" width="5" style="25" customWidth="1"/>
    <col min="9741" max="9741" width="16.7109375" style="25" customWidth="1"/>
    <col min="9742" max="9742" width="0" style="25" hidden="1" customWidth="1"/>
    <col min="9743" max="9743" width="4.42578125" style="25" customWidth="1"/>
    <col min="9744" max="9744" width="16.7109375" style="25" customWidth="1"/>
    <col min="9745" max="9745" width="4.42578125" style="25" customWidth="1"/>
    <col min="9746" max="9746" width="16.7109375" style="25" customWidth="1"/>
    <col min="9747" max="9747" width="9.140625" style="25"/>
    <col min="9748" max="9749" width="0" style="25" hidden="1" customWidth="1"/>
    <col min="9750" max="9750" width="9.28515625" style="25" bestFit="1" customWidth="1"/>
    <col min="9751" max="9984" width="9.140625" style="25"/>
    <col min="9985" max="9985" width="4.28515625" style="25" customWidth="1"/>
    <col min="9986" max="9986" width="6.140625" style="25" bestFit="1" customWidth="1"/>
    <col min="9987" max="9987" width="28.140625" style="25" bestFit="1" customWidth="1"/>
    <col min="9988" max="9988" width="12.5703125" style="25" bestFit="1" customWidth="1"/>
    <col min="9989" max="9989" width="8.7109375" style="25" bestFit="1" customWidth="1"/>
    <col min="9990" max="9990" width="12.5703125" style="25" bestFit="1" customWidth="1"/>
    <col min="9991" max="9991" width="3.7109375" style="25" customWidth="1"/>
    <col min="9992" max="9992" width="15.7109375" style="25" customWidth="1"/>
    <col min="9993" max="9993" width="5" style="25" customWidth="1"/>
    <col min="9994" max="9995" width="15.7109375" style="25" customWidth="1"/>
    <col min="9996" max="9996" width="5" style="25" customWidth="1"/>
    <col min="9997" max="9997" width="16.7109375" style="25" customWidth="1"/>
    <col min="9998" max="9998" width="0" style="25" hidden="1" customWidth="1"/>
    <col min="9999" max="9999" width="4.42578125" style="25" customWidth="1"/>
    <col min="10000" max="10000" width="16.7109375" style="25" customWidth="1"/>
    <col min="10001" max="10001" width="4.42578125" style="25" customWidth="1"/>
    <col min="10002" max="10002" width="16.7109375" style="25" customWidth="1"/>
    <col min="10003" max="10003" width="9.140625" style="25"/>
    <col min="10004" max="10005" width="0" style="25" hidden="1" customWidth="1"/>
    <col min="10006" max="10006" width="9.28515625" style="25" bestFit="1" customWidth="1"/>
    <col min="10007" max="10240" width="9.140625" style="25"/>
    <col min="10241" max="10241" width="4.28515625" style="25" customWidth="1"/>
    <col min="10242" max="10242" width="6.140625" style="25" bestFit="1" customWidth="1"/>
    <col min="10243" max="10243" width="28.140625" style="25" bestFit="1" customWidth="1"/>
    <col min="10244" max="10244" width="12.5703125" style="25" bestFit="1" customWidth="1"/>
    <col min="10245" max="10245" width="8.7109375" style="25" bestFit="1" customWidth="1"/>
    <col min="10246" max="10246" width="12.5703125" style="25" bestFit="1" customWidth="1"/>
    <col min="10247" max="10247" width="3.7109375" style="25" customWidth="1"/>
    <col min="10248" max="10248" width="15.7109375" style="25" customWidth="1"/>
    <col min="10249" max="10249" width="5" style="25" customWidth="1"/>
    <col min="10250" max="10251" width="15.7109375" style="25" customWidth="1"/>
    <col min="10252" max="10252" width="5" style="25" customWidth="1"/>
    <col min="10253" max="10253" width="16.7109375" style="25" customWidth="1"/>
    <col min="10254" max="10254" width="0" style="25" hidden="1" customWidth="1"/>
    <col min="10255" max="10255" width="4.42578125" style="25" customWidth="1"/>
    <col min="10256" max="10256" width="16.7109375" style="25" customWidth="1"/>
    <col min="10257" max="10257" width="4.42578125" style="25" customWidth="1"/>
    <col min="10258" max="10258" width="16.7109375" style="25" customWidth="1"/>
    <col min="10259" max="10259" width="9.140625" style="25"/>
    <col min="10260" max="10261" width="0" style="25" hidden="1" customWidth="1"/>
    <col min="10262" max="10262" width="9.28515625" style="25" bestFit="1" customWidth="1"/>
    <col min="10263" max="10496" width="9.140625" style="25"/>
    <col min="10497" max="10497" width="4.28515625" style="25" customWidth="1"/>
    <col min="10498" max="10498" width="6.140625" style="25" bestFit="1" customWidth="1"/>
    <col min="10499" max="10499" width="28.140625" style="25" bestFit="1" customWidth="1"/>
    <col min="10500" max="10500" width="12.5703125" style="25" bestFit="1" customWidth="1"/>
    <col min="10501" max="10501" width="8.7109375" style="25" bestFit="1" customWidth="1"/>
    <col min="10502" max="10502" width="12.5703125" style="25" bestFit="1" customWidth="1"/>
    <col min="10503" max="10503" width="3.7109375" style="25" customWidth="1"/>
    <col min="10504" max="10504" width="15.7109375" style="25" customWidth="1"/>
    <col min="10505" max="10505" width="5" style="25" customWidth="1"/>
    <col min="10506" max="10507" width="15.7109375" style="25" customWidth="1"/>
    <col min="10508" max="10508" width="5" style="25" customWidth="1"/>
    <col min="10509" max="10509" width="16.7109375" style="25" customWidth="1"/>
    <col min="10510" max="10510" width="0" style="25" hidden="1" customWidth="1"/>
    <col min="10511" max="10511" width="4.42578125" style="25" customWidth="1"/>
    <col min="10512" max="10512" width="16.7109375" style="25" customWidth="1"/>
    <col min="10513" max="10513" width="4.42578125" style="25" customWidth="1"/>
    <col min="10514" max="10514" width="16.7109375" style="25" customWidth="1"/>
    <col min="10515" max="10515" width="9.140625" style="25"/>
    <col min="10516" max="10517" width="0" style="25" hidden="1" customWidth="1"/>
    <col min="10518" max="10518" width="9.28515625" style="25" bestFit="1" customWidth="1"/>
    <col min="10519" max="10752" width="9.140625" style="25"/>
    <col min="10753" max="10753" width="4.28515625" style="25" customWidth="1"/>
    <col min="10754" max="10754" width="6.140625" style="25" bestFit="1" customWidth="1"/>
    <col min="10755" max="10755" width="28.140625" style="25" bestFit="1" customWidth="1"/>
    <col min="10756" max="10756" width="12.5703125" style="25" bestFit="1" customWidth="1"/>
    <col min="10757" max="10757" width="8.7109375" style="25" bestFit="1" customWidth="1"/>
    <col min="10758" max="10758" width="12.5703125" style="25" bestFit="1" customWidth="1"/>
    <col min="10759" max="10759" width="3.7109375" style="25" customWidth="1"/>
    <col min="10760" max="10760" width="15.7109375" style="25" customWidth="1"/>
    <col min="10761" max="10761" width="5" style="25" customWidth="1"/>
    <col min="10762" max="10763" width="15.7109375" style="25" customWidth="1"/>
    <col min="10764" max="10764" width="5" style="25" customWidth="1"/>
    <col min="10765" max="10765" width="16.7109375" style="25" customWidth="1"/>
    <col min="10766" max="10766" width="0" style="25" hidden="1" customWidth="1"/>
    <col min="10767" max="10767" width="4.42578125" style="25" customWidth="1"/>
    <col min="10768" max="10768" width="16.7109375" style="25" customWidth="1"/>
    <col min="10769" max="10769" width="4.42578125" style="25" customWidth="1"/>
    <col min="10770" max="10770" width="16.7109375" style="25" customWidth="1"/>
    <col min="10771" max="10771" width="9.140625" style="25"/>
    <col min="10772" max="10773" width="0" style="25" hidden="1" customWidth="1"/>
    <col min="10774" max="10774" width="9.28515625" style="25" bestFit="1" customWidth="1"/>
    <col min="10775" max="11008" width="9.140625" style="25"/>
    <col min="11009" max="11009" width="4.28515625" style="25" customWidth="1"/>
    <col min="11010" max="11010" width="6.140625" style="25" bestFit="1" customWidth="1"/>
    <col min="11011" max="11011" width="28.140625" style="25" bestFit="1" customWidth="1"/>
    <col min="11012" max="11012" width="12.5703125" style="25" bestFit="1" customWidth="1"/>
    <col min="11013" max="11013" width="8.7109375" style="25" bestFit="1" customWidth="1"/>
    <col min="11014" max="11014" width="12.5703125" style="25" bestFit="1" customWidth="1"/>
    <col min="11015" max="11015" width="3.7109375" style="25" customWidth="1"/>
    <col min="11016" max="11016" width="15.7109375" style="25" customWidth="1"/>
    <col min="11017" max="11017" width="5" style="25" customWidth="1"/>
    <col min="11018" max="11019" width="15.7109375" style="25" customWidth="1"/>
    <col min="11020" max="11020" width="5" style="25" customWidth="1"/>
    <col min="11021" max="11021" width="16.7109375" style="25" customWidth="1"/>
    <col min="11022" max="11022" width="0" style="25" hidden="1" customWidth="1"/>
    <col min="11023" max="11023" width="4.42578125" style="25" customWidth="1"/>
    <col min="11024" max="11024" width="16.7109375" style="25" customWidth="1"/>
    <col min="11025" max="11025" width="4.42578125" style="25" customWidth="1"/>
    <col min="11026" max="11026" width="16.7109375" style="25" customWidth="1"/>
    <col min="11027" max="11027" width="9.140625" style="25"/>
    <col min="11028" max="11029" width="0" style="25" hidden="1" customWidth="1"/>
    <col min="11030" max="11030" width="9.28515625" style="25" bestFit="1" customWidth="1"/>
    <col min="11031" max="11264" width="9.140625" style="25"/>
    <col min="11265" max="11265" width="4.28515625" style="25" customWidth="1"/>
    <col min="11266" max="11266" width="6.140625" style="25" bestFit="1" customWidth="1"/>
    <col min="11267" max="11267" width="28.140625" style="25" bestFit="1" customWidth="1"/>
    <col min="11268" max="11268" width="12.5703125" style="25" bestFit="1" customWidth="1"/>
    <col min="11269" max="11269" width="8.7109375" style="25" bestFit="1" customWidth="1"/>
    <col min="11270" max="11270" width="12.5703125" style="25" bestFit="1" customWidth="1"/>
    <col min="11271" max="11271" width="3.7109375" style="25" customWidth="1"/>
    <col min="11272" max="11272" width="15.7109375" style="25" customWidth="1"/>
    <col min="11273" max="11273" width="5" style="25" customWidth="1"/>
    <col min="11274" max="11275" width="15.7109375" style="25" customWidth="1"/>
    <col min="11276" max="11276" width="5" style="25" customWidth="1"/>
    <col min="11277" max="11277" width="16.7109375" style="25" customWidth="1"/>
    <col min="11278" max="11278" width="0" style="25" hidden="1" customWidth="1"/>
    <col min="11279" max="11279" width="4.42578125" style="25" customWidth="1"/>
    <col min="11280" max="11280" width="16.7109375" style="25" customWidth="1"/>
    <col min="11281" max="11281" width="4.42578125" style="25" customWidth="1"/>
    <col min="11282" max="11282" width="16.7109375" style="25" customWidth="1"/>
    <col min="11283" max="11283" width="9.140625" style="25"/>
    <col min="11284" max="11285" width="0" style="25" hidden="1" customWidth="1"/>
    <col min="11286" max="11286" width="9.28515625" style="25" bestFit="1" customWidth="1"/>
    <col min="11287" max="11520" width="9.140625" style="25"/>
    <col min="11521" max="11521" width="4.28515625" style="25" customWidth="1"/>
    <col min="11522" max="11522" width="6.140625" style="25" bestFit="1" customWidth="1"/>
    <col min="11523" max="11523" width="28.140625" style="25" bestFit="1" customWidth="1"/>
    <col min="11524" max="11524" width="12.5703125" style="25" bestFit="1" customWidth="1"/>
    <col min="11525" max="11525" width="8.7109375" style="25" bestFit="1" customWidth="1"/>
    <col min="11526" max="11526" width="12.5703125" style="25" bestFit="1" customWidth="1"/>
    <col min="11527" max="11527" width="3.7109375" style="25" customWidth="1"/>
    <col min="11528" max="11528" width="15.7109375" style="25" customWidth="1"/>
    <col min="11529" max="11529" width="5" style="25" customWidth="1"/>
    <col min="11530" max="11531" width="15.7109375" style="25" customWidth="1"/>
    <col min="11532" max="11532" width="5" style="25" customWidth="1"/>
    <col min="11533" max="11533" width="16.7109375" style="25" customWidth="1"/>
    <col min="11534" max="11534" width="0" style="25" hidden="1" customWidth="1"/>
    <col min="11535" max="11535" width="4.42578125" style="25" customWidth="1"/>
    <col min="11536" max="11536" width="16.7109375" style="25" customWidth="1"/>
    <col min="11537" max="11537" width="4.42578125" style="25" customWidth="1"/>
    <col min="11538" max="11538" width="16.7109375" style="25" customWidth="1"/>
    <col min="11539" max="11539" width="9.140625" style="25"/>
    <col min="11540" max="11541" width="0" style="25" hidden="1" customWidth="1"/>
    <col min="11542" max="11542" width="9.28515625" style="25" bestFit="1" customWidth="1"/>
    <col min="11543" max="11776" width="9.140625" style="25"/>
    <col min="11777" max="11777" width="4.28515625" style="25" customWidth="1"/>
    <col min="11778" max="11778" width="6.140625" style="25" bestFit="1" customWidth="1"/>
    <col min="11779" max="11779" width="28.140625" style="25" bestFit="1" customWidth="1"/>
    <col min="11780" max="11780" width="12.5703125" style="25" bestFit="1" customWidth="1"/>
    <col min="11781" max="11781" width="8.7109375" style="25" bestFit="1" customWidth="1"/>
    <col min="11782" max="11782" width="12.5703125" style="25" bestFit="1" customWidth="1"/>
    <col min="11783" max="11783" width="3.7109375" style="25" customWidth="1"/>
    <col min="11784" max="11784" width="15.7109375" style="25" customWidth="1"/>
    <col min="11785" max="11785" width="5" style="25" customWidth="1"/>
    <col min="11786" max="11787" width="15.7109375" style="25" customWidth="1"/>
    <col min="11788" max="11788" width="5" style="25" customWidth="1"/>
    <col min="11789" max="11789" width="16.7109375" style="25" customWidth="1"/>
    <col min="11790" max="11790" width="0" style="25" hidden="1" customWidth="1"/>
    <col min="11791" max="11791" width="4.42578125" style="25" customWidth="1"/>
    <col min="11792" max="11792" width="16.7109375" style="25" customWidth="1"/>
    <col min="11793" max="11793" width="4.42578125" style="25" customWidth="1"/>
    <col min="11794" max="11794" width="16.7109375" style="25" customWidth="1"/>
    <col min="11795" max="11795" width="9.140625" style="25"/>
    <col min="11796" max="11797" width="0" style="25" hidden="1" customWidth="1"/>
    <col min="11798" max="11798" width="9.28515625" style="25" bestFit="1" customWidth="1"/>
    <col min="11799" max="12032" width="9.140625" style="25"/>
    <col min="12033" max="12033" width="4.28515625" style="25" customWidth="1"/>
    <col min="12034" max="12034" width="6.140625" style="25" bestFit="1" customWidth="1"/>
    <col min="12035" max="12035" width="28.140625" style="25" bestFit="1" customWidth="1"/>
    <col min="12036" max="12036" width="12.5703125" style="25" bestFit="1" customWidth="1"/>
    <col min="12037" max="12037" width="8.7109375" style="25" bestFit="1" customWidth="1"/>
    <col min="12038" max="12038" width="12.5703125" style="25" bestFit="1" customWidth="1"/>
    <col min="12039" max="12039" width="3.7109375" style="25" customWidth="1"/>
    <col min="12040" max="12040" width="15.7109375" style="25" customWidth="1"/>
    <col min="12041" max="12041" width="5" style="25" customWidth="1"/>
    <col min="12042" max="12043" width="15.7109375" style="25" customWidth="1"/>
    <col min="12044" max="12044" width="5" style="25" customWidth="1"/>
    <col min="12045" max="12045" width="16.7109375" style="25" customWidth="1"/>
    <col min="12046" max="12046" width="0" style="25" hidden="1" customWidth="1"/>
    <col min="12047" max="12047" width="4.42578125" style="25" customWidth="1"/>
    <col min="12048" max="12048" width="16.7109375" style="25" customWidth="1"/>
    <col min="12049" max="12049" width="4.42578125" style="25" customWidth="1"/>
    <col min="12050" max="12050" width="16.7109375" style="25" customWidth="1"/>
    <col min="12051" max="12051" width="9.140625" style="25"/>
    <col min="12052" max="12053" width="0" style="25" hidden="1" customWidth="1"/>
    <col min="12054" max="12054" width="9.28515625" style="25" bestFit="1" customWidth="1"/>
    <col min="12055" max="12288" width="9.140625" style="25"/>
    <col min="12289" max="12289" width="4.28515625" style="25" customWidth="1"/>
    <col min="12290" max="12290" width="6.140625" style="25" bestFit="1" customWidth="1"/>
    <col min="12291" max="12291" width="28.140625" style="25" bestFit="1" customWidth="1"/>
    <col min="12292" max="12292" width="12.5703125" style="25" bestFit="1" customWidth="1"/>
    <col min="12293" max="12293" width="8.7109375" style="25" bestFit="1" customWidth="1"/>
    <col min="12294" max="12294" width="12.5703125" style="25" bestFit="1" customWidth="1"/>
    <col min="12295" max="12295" width="3.7109375" style="25" customWidth="1"/>
    <col min="12296" max="12296" width="15.7109375" style="25" customWidth="1"/>
    <col min="12297" max="12297" width="5" style="25" customWidth="1"/>
    <col min="12298" max="12299" width="15.7109375" style="25" customWidth="1"/>
    <col min="12300" max="12300" width="5" style="25" customWidth="1"/>
    <col min="12301" max="12301" width="16.7109375" style="25" customWidth="1"/>
    <col min="12302" max="12302" width="0" style="25" hidden="1" customWidth="1"/>
    <col min="12303" max="12303" width="4.42578125" style="25" customWidth="1"/>
    <col min="12304" max="12304" width="16.7109375" style="25" customWidth="1"/>
    <col min="12305" max="12305" width="4.42578125" style="25" customWidth="1"/>
    <col min="12306" max="12306" width="16.7109375" style="25" customWidth="1"/>
    <col min="12307" max="12307" width="9.140625" style="25"/>
    <col min="12308" max="12309" width="0" style="25" hidden="1" customWidth="1"/>
    <col min="12310" max="12310" width="9.28515625" style="25" bestFit="1" customWidth="1"/>
    <col min="12311" max="12544" width="9.140625" style="25"/>
    <col min="12545" max="12545" width="4.28515625" style="25" customWidth="1"/>
    <col min="12546" max="12546" width="6.140625" style="25" bestFit="1" customWidth="1"/>
    <col min="12547" max="12547" width="28.140625" style="25" bestFit="1" customWidth="1"/>
    <col min="12548" max="12548" width="12.5703125" style="25" bestFit="1" customWidth="1"/>
    <col min="12549" max="12549" width="8.7109375" style="25" bestFit="1" customWidth="1"/>
    <col min="12550" max="12550" width="12.5703125" style="25" bestFit="1" customWidth="1"/>
    <col min="12551" max="12551" width="3.7109375" style="25" customWidth="1"/>
    <col min="12552" max="12552" width="15.7109375" style="25" customWidth="1"/>
    <col min="12553" max="12553" width="5" style="25" customWidth="1"/>
    <col min="12554" max="12555" width="15.7109375" style="25" customWidth="1"/>
    <col min="12556" max="12556" width="5" style="25" customWidth="1"/>
    <col min="12557" max="12557" width="16.7109375" style="25" customWidth="1"/>
    <col min="12558" max="12558" width="0" style="25" hidden="1" customWidth="1"/>
    <col min="12559" max="12559" width="4.42578125" style="25" customWidth="1"/>
    <col min="12560" max="12560" width="16.7109375" style="25" customWidth="1"/>
    <col min="12561" max="12561" width="4.42578125" style="25" customWidth="1"/>
    <col min="12562" max="12562" width="16.7109375" style="25" customWidth="1"/>
    <col min="12563" max="12563" width="9.140625" style="25"/>
    <col min="12564" max="12565" width="0" style="25" hidden="1" customWidth="1"/>
    <col min="12566" max="12566" width="9.28515625" style="25" bestFit="1" customWidth="1"/>
    <col min="12567" max="12800" width="9.140625" style="25"/>
    <col min="12801" max="12801" width="4.28515625" style="25" customWidth="1"/>
    <col min="12802" max="12802" width="6.140625" style="25" bestFit="1" customWidth="1"/>
    <col min="12803" max="12803" width="28.140625" style="25" bestFit="1" customWidth="1"/>
    <col min="12804" max="12804" width="12.5703125" style="25" bestFit="1" customWidth="1"/>
    <col min="12805" max="12805" width="8.7109375" style="25" bestFit="1" customWidth="1"/>
    <col min="12806" max="12806" width="12.5703125" style="25" bestFit="1" customWidth="1"/>
    <col min="12807" max="12807" width="3.7109375" style="25" customWidth="1"/>
    <col min="12808" max="12808" width="15.7109375" style="25" customWidth="1"/>
    <col min="12809" max="12809" width="5" style="25" customWidth="1"/>
    <col min="12810" max="12811" width="15.7109375" style="25" customWidth="1"/>
    <col min="12812" max="12812" width="5" style="25" customWidth="1"/>
    <col min="12813" max="12813" width="16.7109375" style="25" customWidth="1"/>
    <col min="12814" max="12814" width="0" style="25" hidden="1" customWidth="1"/>
    <col min="12815" max="12815" width="4.42578125" style="25" customWidth="1"/>
    <col min="12816" max="12816" width="16.7109375" style="25" customWidth="1"/>
    <col min="12817" max="12817" width="4.42578125" style="25" customWidth="1"/>
    <col min="12818" max="12818" width="16.7109375" style="25" customWidth="1"/>
    <col min="12819" max="12819" width="9.140625" style="25"/>
    <col min="12820" max="12821" width="0" style="25" hidden="1" customWidth="1"/>
    <col min="12822" max="12822" width="9.28515625" style="25" bestFit="1" customWidth="1"/>
    <col min="12823" max="13056" width="9.140625" style="25"/>
    <col min="13057" max="13057" width="4.28515625" style="25" customWidth="1"/>
    <col min="13058" max="13058" width="6.140625" style="25" bestFit="1" customWidth="1"/>
    <col min="13059" max="13059" width="28.140625" style="25" bestFit="1" customWidth="1"/>
    <col min="13060" max="13060" width="12.5703125" style="25" bestFit="1" customWidth="1"/>
    <col min="13061" max="13061" width="8.7109375" style="25" bestFit="1" customWidth="1"/>
    <col min="13062" max="13062" width="12.5703125" style="25" bestFit="1" customWidth="1"/>
    <col min="13063" max="13063" width="3.7109375" style="25" customWidth="1"/>
    <col min="13064" max="13064" width="15.7109375" style="25" customWidth="1"/>
    <col min="13065" max="13065" width="5" style="25" customWidth="1"/>
    <col min="13066" max="13067" width="15.7109375" style="25" customWidth="1"/>
    <col min="13068" max="13068" width="5" style="25" customWidth="1"/>
    <col min="13069" max="13069" width="16.7109375" style="25" customWidth="1"/>
    <col min="13070" max="13070" width="0" style="25" hidden="1" customWidth="1"/>
    <col min="13071" max="13071" width="4.42578125" style="25" customWidth="1"/>
    <col min="13072" max="13072" width="16.7109375" style="25" customWidth="1"/>
    <col min="13073" max="13073" width="4.42578125" style="25" customWidth="1"/>
    <col min="13074" max="13074" width="16.7109375" style="25" customWidth="1"/>
    <col min="13075" max="13075" width="9.140625" style="25"/>
    <col min="13076" max="13077" width="0" style="25" hidden="1" customWidth="1"/>
    <col min="13078" max="13078" width="9.28515625" style="25" bestFit="1" customWidth="1"/>
    <col min="13079" max="13312" width="9.140625" style="25"/>
    <col min="13313" max="13313" width="4.28515625" style="25" customWidth="1"/>
    <col min="13314" max="13314" width="6.140625" style="25" bestFit="1" customWidth="1"/>
    <col min="13315" max="13315" width="28.140625" style="25" bestFit="1" customWidth="1"/>
    <col min="13316" max="13316" width="12.5703125" style="25" bestFit="1" customWidth="1"/>
    <col min="13317" max="13317" width="8.7109375" style="25" bestFit="1" customWidth="1"/>
    <col min="13318" max="13318" width="12.5703125" style="25" bestFit="1" customWidth="1"/>
    <col min="13319" max="13319" width="3.7109375" style="25" customWidth="1"/>
    <col min="13320" max="13320" width="15.7109375" style="25" customWidth="1"/>
    <col min="13321" max="13321" width="5" style="25" customWidth="1"/>
    <col min="13322" max="13323" width="15.7109375" style="25" customWidth="1"/>
    <col min="13324" max="13324" width="5" style="25" customWidth="1"/>
    <col min="13325" max="13325" width="16.7109375" style="25" customWidth="1"/>
    <col min="13326" max="13326" width="0" style="25" hidden="1" customWidth="1"/>
    <col min="13327" max="13327" width="4.42578125" style="25" customWidth="1"/>
    <col min="13328" max="13328" width="16.7109375" style="25" customWidth="1"/>
    <col min="13329" max="13329" width="4.42578125" style="25" customWidth="1"/>
    <col min="13330" max="13330" width="16.7109375" style="25" customWidth="1"/>
    <col min="13331" max="13331" width="9.140625" style="25"/>
    <col min="13332" max="13333" width="0" style="25" hidden="1" customWidth="1"/>
    <col min="13334" max="13334" width="9.28515625" style="25" bestFit="1" customWidth="1"/>
    <col min="13335" max="13568" width="9.140625" style="25"/>
    <col min="13569" max="13569" width="4.28515625" style="25" customWidth="1"/>
    <col min="13570" max="13570" width="6.140625" style="25" bestFit="1" customWidth="1"/>
    <col min="13571" max="13571" width="28.140625" style="25" bestFit="1" customWidth="1"/>
    <col min="13572" max="13572" width="12.5703125" style="25" bestFit="1" customWidth="1"/>
    <col min="13573" max="13573" width="8.7109375" style="25" bestFit="1" customWidth="1"/>
    <col min="13574" max="13574" width="12.5703125" style="25" bestFit="1" customWidth="1"/>
    <col min="13575" max="13575" width="3.7109375" style="25" customWidth="1"/>
    <col min="13576" max="13576" width="15.7109375" style="25" customWidth="1"/>
    <col min="13577" max="13577" width="5" style="25" customWidth="1"/>
    <col min="13578" max="13579" width="15.7109375" style="25" customWidth="1"/>
    <col min="13580" max="13580" width="5" style="25" customWidth="1"/>
    <col min="13581" max="13581" width="16.7109375" style="25" customWidth="1"/>
    <col min="13582" max="13582" width="0" style="25" hidden="1" customWidth="1"/>
    <col min="13583" max="13583" width="4.42578125" style="25" customWidth="1"/>
    <col min="13584" max="13584" width="16.7109375" style="25" customWidth="1"/>
    <col min="13585" max="13585" width="4.42578125" style="25" customWidth="1"/>
    <col min="13586" max="13586" width="16.7109375" style="25" customWidth="1"/>
    <col min="13587" max="13587" width="9.140625" style="25"/>
    <col min="13588" max="13589" width="0" style="25" hidden="1" customWidth="1"/>
    <col min="13590" max="13590" width="9.28515625" style="25" bestFit="1" customWidth="1"/>
    <col min="13591" max="13824" width="9.140625" style="25"/>
    <col min="13825" max="13825" width="4.28515625" style="25" customWidth="1"/>
    <col min="13826" max="13826" width="6.140625" style="25" bestFit="1" customWidth="1"/>
    <col min="13827" max="13827" width="28.140625" style="25" bestFit="1" customWidth="1"/>
    <col min="13828" max="13828" width="12.5703125" style="25" bestFit="1" customWidth="1"/>
    <col min="13829" max="13829" width="8.7109375" style="25" bestFit="1" customWidth="1"/>
    <col min="13830" max="13830" width="12.5703125" style="25" bestFit="1" customWidth="1"/>
    <col min="13831" max="13831" width="3.7109375" style="25" customWidth="1"/>
    <col min="13832" max="13832" width="15.7109375" style="25" customWidth="1"/>
    <col min="13833" max="13833" width="5" style="25" customWidth="1"/>
    <col min="13834" max="13835" width="15.7109375" style="25" customWidth="1"/>
    <col min="13836" max="13836" width="5" style="25" customWidth="1"/>
    <col min="13837" max="13837" width="16.7109375" style="25" customWidth="1"/>
    <col min="13838" max="13838" width="0" style="25" hidden="1" customWidth="1"/>
    <col min="13839" max="13839" width="4.42578125" style="25" customWidth="1"/>
    <col min="13840" max="13840" width="16.7109375" style="25" customWidth="1"/>
    <col min="13841" max="13841" width="4.42578125" style="25" customWidth="1"/>
    <col min="13842" max="13842" width="16.7109375" style="25" customWidth="1"/>
    <col min="13843" max="13843" width="9.140625" style="25"/>
    <col min="13844" max="13845" width="0" style="25" hidden="1" customWidth="1"/>
    <col min="13846" max="13846" width="9.28515625" style="25" bestFit="1" customWidth="1"/>
    <col min="13847" max="14080" width="9.140625" style="25"/>
    <col min="14081" max="14081" width="4.28515625" style="25" customWidth="1"/>
    <col min="14082" max="14082" width="6.140625" style="25" bestFit="1" customWidth="1"/>
    <col min="14083" max="14083" width="28.140625" style="25" bestFit="1" customWidth="1"/>
    <col min="14084" max="14084" width="12.5703125" style="25" bestFit="1" customWidth="1"/>
    <col min="14085" max="14085" width="8.7109375" style="25" bestFit="1" customWidth="1"/>
    <col min="14086" max="14086" width="12.5703125" style="25" bestFit="1" customWidth="1"/>
    <col min="14087" max="14087" width="3.7109375" style="25" customWidth="1"/>
    <col min="14088" max="14088" width="15.7109375" style="25" customWidth="1"/>
    <col min="14089" max="14089" width="5" style="25" customWidth="1"/>
    <col min="14090" max="14091" width="15.7109375" style="25" customWidth="1"/>
    <col min="14092" max="14092" width="5" style="25" customWidth="1"/>
    <col min="14093" max="14093" width="16.7109375" style="25" customWidth="1"/>
    <col min="14094" max="14094" width="0" style="25" hidden="1" customWidth="1"/>
    <col min="14095" max="14095" width="4.42578125" style="25" customWidth="1"/>
    <col min="14096" max="14096" width="16.7109375" style="25" customWidth="1"/>
    <col min="14097" max="14097" width="4.42578125" style="25" customWidth="1"/>
    <col min="14098" max="14098" width="16.7109375" style="25" customWidth="1"/>
    <col min="14099" max="14099" width="9.140625" style="25"/>
    <col min="14100" max="14101" width="0" style="25" hidden="1" customWidth="1"/>
    <col min="14102" max="14102" width="9.28515625" style="25" bestFit="1" customWidth="1"/>
    <col min="14103" max="14336" width="9.140625" style="25"/>
    <col min="14337" max="14337" width="4.28515625" style="25" customWidth="1"/>
    <col min="14338" max="14338" width="6.140625" style="25" bestFit="1" customWidth="1"/>
    <col min="14339" max="14339" width="28.140625" style="25" bestFit="1" customWidth="1"/>
    <col min="14340" max="14340" width="12.5703125" style="25" bestFit="1" customWidth="1"/>
    <col min="14341" max="14341" width="8.7109375" style="25" bestFit="1" customWidth="1"/>
    <col min="14342" max="14342" width="12.5703125" style="25" bestFit="1" customWidth="1"/>
    <col min="14343" max="14343" width="3.7109375" style="25" customWidth="1"/>
    <col min="14344" max="14344" width="15.7109375" style="25" customWidth="1"/>
    <col min="14345" max="14345" width="5" style="25" customWidth="1"/>
    <col min="14346" max="14347" width="15.7109375" style="25" customWidth="1"/>
    <col min="14348" max="14348" width="5" style="25" customWidth="1"/>
    <col min="14349" max="14349" width="16.7109375" style="25" customWidth="1"/>
    <col min="14350" max="14350" width="0" style="25" hidden="1" customWidth="1"/>
    <col min="14351" max="14351" width="4.42578125" style="25" customWidth="1"/>
    <col min="14352" max="14352" width="16.7109375" style="25" customWidth="1"/>
    <col min="14353" max="14353" width="4.42578125" style="25" customWidth="1"/>
    <col min="14354" max="14354" width="16.7109375" style="25" customWidth="1"/>
    <col min="14355" max="14355" width="9.140625" style="25"/>
    <col min="14356" max="14357" width="0" style="25" hidden="1" customWidth="1"/>
    <col min="14358" max="14358" width="9.28515625" style="25" bestFit="1" customWidth="1"/>
    <col min="14359" max="14592" width="9.140625" style="25"/>
    <col min="14593" max="14593" width="4.28515625" style="25" customWidth="1"/>
    <col min="14594" max="14594" width="6.140625" style="25" bestFit="1" customWidth="1"/>
    <col min="14595" max="14595" width="28.140625" style="25" bestFit="1" customWidth="1"/>
    <col min="14596" max="14596" width="12.5703125" style="25" bestFit="1" customWidth="1"/>
    <col min="14597" max="14597" width="8.7109375" style="25" bestFit="1" customWidth="1"/>
    <col min="14598" max="14598" width="12.5703125" style="25" bestFit="1" customWidth="1"/>
    <col min="14599" max="14599" width="3.7109375" style="25" customWidth="1"/>
    <col min="14600" max="14600" width="15.7109375" style="25" customWidth="1"/>
    <col min="14601" max="14601" width="5" style="25" customWidth="1"/>
    <col min="14602" max="14603" width="15.7109375" style="25" customWidth="1"/>
    <col min="14604" max="14604" width="5" style="25" customWidth="1"/>
    <col min="14605" max="14605" width="16.7109375" style="25" customWidth="1"/>
    <col min="14606" max="14606" width="0" style="25" hidden="1" customWidth="1"/>
    <col min="14607" max="14607" width="4.42578125" style="25" customWidth="1"/>
    <col min="14608" max="14608" width="16.7109375" style="25" customWidth="1"/>
    <col min="14609" max="14609" width="4.42578125" style="25" customWidth="1"/>
    <col min="14610" max="14610" width="16.7109375" style="25" customWidth="1"/>
    <col min="14611" max="14611" width="9.140625" style="25"/>
    <col min="14612" max="14613" width="0" style="25" hidden="1" customWidth="1"/>
    <col min="14614" max="14614" width="9.28515625" style="25" bestFit="1" customWidth="1"/>
    <col min="14615" max="14848" width="9.140625" style="25"/>
    <col min="14849" max="14849" width="4.28515625" style="25" customWidth="1"/>
    <col min="14850" max="14850" width="6.140625" style="25" bestFit="1" customWidth="1"/>
    <col min="14851" max="14851" width="28.140625" style="25" bestFit="1" customWidth="1"/>
    <col min="14852" max="14852" width="12.5703125" style="25" bestFit="1" customWidth="1"/>
    <col min="14853" max="14853" width="8.7109375" style="25" bestFit="1" customWidth="1"/>
    <col min="14854" max="14854" width="12.5703125" style="25" bestFit="1" customWidth="1"/>
    <col min="14855" max="14855" width="3.7109375" style="25" customWidth="1"/>
    <col min="14856" max="14856" width="15.7109375" style="25" customWidth="1"/>
    <col min="14857" max="14857" width="5" style="25" customWidth="1"/>
    <col min="14858" max="14859" width="15.7109375" style="25" customWidth="1"/>
    <col min="14860" max="14860" width="5" style="25" customWidth="1"/>
    <col min="14861" max="14861" width="16.7109375" style="25" customWidth="1"/>
    <col min="14862" max="14862" width="0" style="25" hidden="1" customWidth="1"/>
    <col min="14863" max="14863" width="4.42578125" style="25" customWidth="1"/>
    <col min="14864" max="14864" width="16.7109375" style="25" customWidth="1"/>
    <col min="14865" max="14865" width="4.42578125" style="25" customWidth="1"/>
    <col min="14866" max="14866" width="16.7109375" style="25" customWidth="1"/>
    <col min="14867" max="14867" width="9.140625" style="25"/>
    <col min="14868" max="14869" width="0" style="25" hidden="1" customWidth="1"/>
    <col min="14870" max="14870" width="9.28515625" style="25" bestFit="1" customWidth="1"/>
    <col min="14871" max="15104" width="9.140625" style="25"/>
    <col min="15105" max="15105" width="4.28515625" style="25" customWidth="1"/>
    <col min="15106" max="15106" width="6.140625" style="25" bestFit="1" customWidth="1"/>
    <col min="15107" max="15107" width="28.140625" style="25" bestFit="1" customWidth="1"/>
    <col min="15108" max="15108" width="12.5703125" style="25" bestFit="1" customWidth="1"/>
    <col min="15109" max="15109" width="8.7109375" style="25" bestFit="1" customWidth="1"/>
    <col min="15110" max="15110" width="12.5703125" style="25" bestFit="1" customWidth="1"/>
    <col min="15111" max="15111" width="3.7109375" style="25" customWidth="1"/>
    <col min="15112" max="15112" width="15.7109375" style="25" customWidth="1"/>
    <col min="15113" max="15113" width="5" style="25" customWidth="1"/>
    <col min="15114" max="15115" width="15.7109375" style="25" customWidth="1"/>
    <col min="15116" max="15116" width="5" style="25" customWidth="1"/>
    <col min="15117" max="15117" width="16.7109375" style="25" customWidth="1"/>
    <col min="15118" max="15118" width="0" style="25" hidden="1" customWidth="1"/>
    <col min="15119" max="15119" width="4.42578125" style="25" customWidth="1"/>
    <col min="15120" max="15120" width="16.7109375" style="25" customWidth="1"/>
    <col min="15121" max="15121" width="4.42578125" style="25" customWidth="1"/>
    <col min="15122" max="15122" width="16.7109375" style="25" customWidth="1"/>
    <col min="15123" max="15123" width="9.140625" style="25"/>
    <col min="15124" max="15125" width="0" style="25" hidden="1" customWidth="1"/>
    <col min="15126" max="15126" width="9.28515625" style="25" bestFit="1" customWidth="1"/>
    <col min="15127" max="15360" width="9.140625" style="25"/>
    <col min="15361" max="15361" width="4.28515625" style="25" customWidth="1"/>
    <col min="15362" max="15362" width="6.140625" style="25" bestFit="1" customWidth="1"/>
    <col min="15363" max="15363" width="28.140625" style="25" bestFit="1" customWidth="1"/>
    <col min="15364" max="15364" width="12.5703125" style="25" bestFit="1" customWidth="1"/>
    <col min="15365" max="15365" width="8.7109375" style="25" bestFit="1" customWidth="1"/>
    <col min="15366" max="15366" width="12.5703125" style="25" bestFit="1" customWidth="1"/>
    <col min="15367" max="15367" width="3.7109375" style="25" customWidth="1"/>
    <col min="15368" max="15368" width="15.7109375" style="25" customWidth="1"/>
    <col min="15369" max="15369" width="5" style="25" customWidth="1"/>
    <col min="15370" max="15371" width="15.7109375" style="25" customWidth="1"/>
    <col min="15372" max="15372" width="5" style="25" customWidth="1"/>
    <col min="15373" max="15373" width="16.7109375" style="25" customWidth="1"/>
    <col min="15374" max="15374" width="0" style="25" hidden="1" customWidth="1"/>
    <col min="15375" max="15375" width="4.42578125" style="25" customWidth="1"/>
    <col min="15376" max="15376" width="16.7109375" style="25" customWidth="1"/>
    <col min="15377" max="15377" width="4.42578125" style="25" customWidth="1"/>
    <col min="15378" max="15378" width="16.7109375" style="25" customWidth="1"/>
    <col min="15379" max="15379" width="9.140625" style="25"/>
    <col min="15380" max="15381" width="0" style="25" hidden="1" customWidth="1"/>
    <col min="15382" max="15382" width="9.28515625" style="25" bestFit="1" customWidth="1"/>
    <col min="15383" max="15616" width="9.140625" style="25"/>
    <col min="15617" max="15617" width="4.28515625" style="25" customWidth="1"/>
    <col min="15618" max="15618" width="6.140625" style="25" bestFit="1" customWidth="1"/>
    <col min="15619" max="15619" width="28.140625" style="25" bestFit="1" customWidth="1"/>
    <col min="15620" max="15620" width="12.5703125" style="25" bestFit="1" customWidth="1"/>
    <col min="15621" max="15621" width="8.7109375" style="25" bestFit="1" customWidth="1"/>
    <col min="15622" max="15622" width="12.5703125" style="25" bestFit="1" customWidth="1"/>
    <col min="15623" max="15623" width="3.7109375" style="25" customWidth="1"/>
    <col min="15624" max="15624" width="15.7109375" style="25" customWidth="1"/>
    <col min="15625" max="15625" width="5" style="25" customWidth="1"/>
    <col min="15626" max="15627" width="15.7109375" style="25" customWidth="1"/>
    <col min="15628" max="15628" width="5" style="25" customWidth="1"/>
    <col min="15629" max="15629" width="16.7109375" style="25" customWidth="1"/>
    <col min="15630" max="15630" width="0" style="25" hidden="1" customWidth="1"/>
    <col min="15631" max="15631" width="4.42578125" style="25" customWidth="1"/>
    <col min="15632" max="15632" width="16.7109375" style="25" customWidth="1"/>
    <col min="15633" max="15633" width="4.42578125" style="25" customWidth="1"/>
    <col min="15634" max="15634" width="16.7109375" style="25" customWidth="1"/>
    <col min="15635" max="15635" width="9.140625" style="25"/>
    <col min="15636" max="15637" width="0" style="25" hidden="1" customWidth="1"/>
    <col min="15638" max="15638" width="9.28515625" style="25" bestFit="1" customWidth="1"/>
    <col min="15639" max="15872" width="9.140625" style="25"/>
    <col min="15873" max="15873" width="4.28515625" style="25" customWidth="1"/>
    <col min="15874" max="15874" width="6.140625" style="25" bestFit="1" customWidth="1"/>
    <col min="15875" max="15875" width="28.140625" style="25" bestFit="1" customWidth="1"/>
    <col min="15876" max="15876" width="12.5703125" style="25" bestFit="1" customWidth="1"/>
    <col min="15877" max="15877" width="8.7109375" style="25" bestFit="1" customWidth="1"/>
    <col min="15878" max="15878" width="12.5703125" style="25" bestFit="1" customWidth="1"/>
    <col min="15879" max="15879" width="3.7109375" style="25" customWidth="1"/>
    <col min="15880" max="15880" width="15.7109375" style="25" customWidth="1"/>
    <col min="15881" max="15881" width="5" style="25" customWidth="1"/>
    <col min="15882" max="15883" width="15.7109375" style="25" customWidth="1"/>
    <col min="15884" max="15884" width="5" style="25" customWidth="1"/>
    <col min="15885" max="15885" width="16.7109375" style="25" customWidth="1"/>
    <col min="15886" max="15886" width="0" style="25" hidden="1" customWidth="1"/>
    <col min="15887" max="15887" width="4.42578125" style="25" customWidth="1"/>
    <col min="15888" max="15888" width="16.7109375" style="25" customWidth="1"/>
    <col min="15889" max="15889" width="4.42578125" style="25" customWidth="1"/>
    <col min="15890" max="15890" width="16.7109375" style="25" customWidth="1"/>
    <col min="15891" max="15891" width="9.140625" style="25"/>
    <col min="15892" max="15893" width="0" style="25" hidden="1" customWidth="1"/>
    <col min="15894" max="15894" width="9.28515625" style="25" bestFit="1" customWidth="1"/>
    <col min="15895" max="16128" width="9.140625" style="25"/>
    <col min="16129" max="16129" width="4.28515625" style="25" customWidth="1"/>
    <col min="16130" max="16130" width="6.140625" style="25" bestFit="1" customWidth="1"/>
    <col min="16131" max="16131" width="28.140625" style="25" bestFit="1" customWidth="1"/>
    <col min="16132" max="16132" width="12.5703125" style="25" bestFit="1" customWidth="1"/>
    <col min="16133" max="16133" width="8.7109375" style="25" bestFit="1" customWidth="1"/>
    <col min="16134" max="16134" width="12.5703125" style="25" bestFit="1" customWidth="1"/>
    <col min="16135" max="16135" width="3.7109375" style="25" customWidth="1"/>
    <col min="16136" max="16136" width="15.7109375" style="25" customWidth="1"/>
    <col min="16137" max="16137" width="5" style="25" customWidth="1"/>
    <col min="16138" max="16139" width="15.7109375" style="25" customWidth="1"/>
    <col min="16140" max="16140" width="5" style="25" customWidth="1"/>
    <col min="16141" max="16141" width="16.7109375" style="25" customWidth="1"/>
    <col min="16142" max="16142" width="0" style="25" hidden="1" customWidth="1"/>
    <col min="16143" max="16143" width="4.42578125" style="25" customWidth="1"/>
    <col min="16144" max="16144" width="16.7109375" style="25" customWidth="1"/>
    <col min="16145" max="16145" width="4.42578125" style="25" customWidth="1"/>
    <col min="16146" max="16146" width="16.7109375" style="25" customWidth="1"/>
    <col min="16147" max="16147" width="9.140625" style="25"/>
    <col min="16148" max="16149" width="0" style="25" hidden="1" customWidth="1"/>
    <col min="16150" max="16150" width="9.28515625" style="25" bestFit="1" customWidth="1"/>
    <col min="16151" max="16384" width="9.140625" style="25"/>
  </cols>
  <sheetData>
    <row r="1" spans="1:25" ht="18" x14ac:dyDescent="0.25">
      <c r="A1" s="19" t="s">
        <v>95</v>
      </c>
      <c r="B1" s="19"/>
      <c r="C1" s="19"/>
      <c r="D1" s="156"/>
      <c r="E1" s="20"/>
      <c r="F1" s="21"/>
      <c r="G1" s="22"/>
      <c r="H1" s="23"/>
      <c r="I1" s="24"/>
      <c r="J1" s="23"/>
      <c r="K1" s="23"/>
      <c r="L1" s="24"/>
      <c r="M1" s="23"/>
      <c r="N1" s="23"/>
    </row>
    <row r="2" spans="1:25" ht="18" x14ac:dyDescent="0.25">
      <c r="A2" s="19" t="s">
        <v>96</v>
      </c>
      <c r="B2" s="19"/>
      <c r="C2" s="19"/>
      <c r="D2" s="156"/>
      <c r="E2" s="20"/>
      <c r="F2" s="21"/>
      <c r="G2" s="22"/>
      <c r="H2" s="23"/>
      <c r="I2" s="24"/>
      <c r="J2" s="23"/>
      <c r="K2" s="23"/>
      <c r="L2" s="24"/>
      <c r="M2" s="23"/>
      <c r="N2" s="23"/>
    </row>
    <row r="3" spans="1:25" ht="18.75" thickBot="1" x14ac:dyDescent="0.3">
      <c r="A3" s="26"/>
      <c r="B3" s="27"/>
      <c r="C3" s="27"/>
      <c r="D3" s="157"/>
      <c r="E3" s="28"/>
    </row>
    <row r="4" spans="1:25" x14ac:dyDescent="0.25">
      <c r="A4" s="32"/>
      <c r="B4" s="33"/>
      <c r="C4" s="33"/>
      <c r="D4" s="158"/>
      <c r="E4" s="34"/>
      <c r="F4" s="35" t="s">
        <v>97</v>
      </c>
      <c r="H4" s="36"/>
      <c r="I4" s="37"/>
      <c r="J4" s="38" t="s">
        <v>98</v>
      </c>
      <c r="K4" s="39" t="s">
        <v>98</v>
      </c>
      <c r="L4" s="40"/>
      <c r="M4" s="36"/>
      <c r="N4" s="41"/>
      <c r="P4" s="36"/>
      <c r="R4" s="36"/>
      <c r="T4" s="36"/>
      <c r="U4" s="36"/>
    </row>
    <row r="5" spans="1:25" x14ac:dyDescent="0.25">
      <c r="A5" s="42"/>
      <c r="B5" s="43"/>
      <c r="C5" s="43"/>
      <c r="D5" s="155"/>
      <c r="E5" s="44"/>
      <c r="F5" s="45"/>
      <c r="H5" s="40" t="s">
        <v>98</v>
      </c>
      <c r="I5" s="37"/>
      <c r="J5" s="46" t="s">
        <v>75</v>
      </c>
      <c r="K5" s="37" t="s">
        <v>76</v>
      </c>
      <c r="L5" s="40"/>
      <c r="M5" s="47" t="s">
        <v>98</v>
      </c>
      <c r="N5" s="48"/>
      <c r="P5" s="40" t="s">
        <v>99</v>
      </c>
      <c r="R5" s="40" t="s">
        <v>100</v>
      </c>
      <c r="T5" s="40" t="s">
        <v>99</v>
      </c>
      <c r="U5" s="40" t="s">
        <v>99</v>
      </c>
      <c r="W5" s="139" t="s">
        <v>201</v>
      </c>
      <c r="X5" s="25" t="s">
        <v>200</v>
      </c>
      <c r="Y5" s="138">
        <f>+(209.099-202.18)/202.18</f>
        <v>3.4221980413492843E-2</v>
      </c>
    </row>
    <row r="6" spans="1:25" s="52" customFormat="1" ht="16.5" customHeight="1" x14ac:dyDescent="0.2">
      <c r="A6" s="49"/>
      <c r="B6" s="50" t="s">
        <v>101</v>
      </c>
      <c r="C6" s="50" t="s">
        <v>102</v>
      </c>
      <c r="D6" s="159" t="s">
        <v>103</v>
      </c>
      <c r="E6" s="51" t="s">
        <v>104</v>
      </c>
      <c r="F6" s="45" t="s">
        <v>105</v>
      </c>
      <c r="H6" s="40" t="s">
        <v>106</v>
      </c>
      <c r="I6" s="53"/>
      <c r="J6" s="46" t="s">
        <v>107</v>
      </c>
      <c r="K6" s="37" t="s">
        <v>107</v>
      </c>
      <c r="L6" s="54"/>
      <c r="M6" s="40" t="s">
        <v>107</v>
      </c>
      <c r="N6" s="55" t="s">
        <v>108</v>
      </c>
      <c r="P6" s="40" t="s">
        <v>107</v>
      </c>
      <c r="R6" s="40" t="s">
        <v>107</v>
      </c>
      <c r="T6" s="40" t="s">
        <v>107</v>
      </c>
      <c r="U6" s="40" t="s">
        <v>107</v>
      </c>
    </row>
    <row r="7" spans="1:25" ht="15.75" thickBot="1" x14ac:dyDescent="0.3">
      <c r="A7" s="56"/>
      <c r="B7" s="57"/>
      <c r="C7" s="57"/>
      <c r="D7" s="160" t="s">
        <v>109</v>
      </c>
      <c r="E7" s="59"/>
      <c r="F7" s="60"/>
      <c r="H7" s="61"/>
      <c r="J7" s="62"/>
      <c r="K7" s="63"/>
      <c r="L7" s="64"/>
      <c r="M7" s="61"/>
      <c r="N7" s="65"/>
      <c r="P7" s="61"/>
      <c r="R7" s="61"/>
      <c r="T7" s="66" t="s">
        <v>110</v>
      </c>
      <c r="U7" s="66" t="s">
        <v>111</v>
      </c>
    </row>
    <row r="8" spans="1:25" x14ac:dyDescent="0.25">
      <c r="A8" s="67" t="s">
        <v>112</v>
      </c>
      <c r="B8" s="33"/>
      <c r="C8" s="33"/>
      <c r="D8" s="158"/>
      <c r="E8" s="34"/>
      <c r="F8" s="68"/>
      <c r="H8" s="64"/>
      <c r="J8" s="69"/>
      <c r="K8" s="31"/>
      <c r="L8" s="64"/>
      <c r="M8" s="64"/>
      <c r="N8" s="70"/>
      <c r="P8" s="64"/>
      <c r="R8" s="64"/>
      <c r="T8" s="64"/>
      <c r="U8" s="64"/>
    </row>
    <row r="9" spans="1:25" x14ac:dyDescent="0.25">
      <c r="A9" s="42">
        <v>1</v>
      </c>
      <c r="B9" s="43">
        <v>31</v>
      </c>
      <c r="C9" s="43" t="s">
        <v>113</v>
      </c>
      <c r="D9" s="155">
        <f>0.51*(1+$Y$5)</f>
        <v>0.52745321001088141</v>
      </c>
      <c r="E9" s="44">
        <v>2050</v>
      </c>
      <c r="F9" s="71">
        <f t="shared" ref="F9:F19" si="0">+E9/$E$130</f>
        <v>1.9672760424163906E-2</v>
      </c>
      <c r="H9" s="72">
        <f>+D9*E9*12</f>
        <v>12975.348966267684</v>
      </c>
      <c r="J9" s="73"/>
      <c r="K9" s="74"/>
      <c r="L9" s="64"/>
      <c r="M9" s="72">
        <f t="shared" ref="M9:M19" si="1">+H9+J9+K9</f>
        <v>12975.348966267684</v>
      </c>
      <c r="N9" s="75">
        <f>+M9/4</f>
        <v>3243.837241566921</v>
      </c>
      <c r="P9" s="72">
        <f>+T9+U9</f>
        <v>0</v>
      </c>
      <c r="R9" s="72">
        <f>+M9+P9</f>
        <v>12975.348966267684</v>
      </c>
      <c r="T9" s="72">
        <f t="shared" ref="T9:T19" si="2">+$F9*$T$134</f>
        <v>0</v>
      </c>
      <c r="U9" s="72"/>
      <c r="W9" s="25">
        <v>0.51</v>
      </c>
      <c r="X9" s="25">
        <f>+(D9-W9)/W9</f>
        <v>3.4221980413492947E-2</v>
      </c>
      <c r="Y9" s="25">
        <f>+W9*(1+$Y$5)</f>
        <v>0.52745321001088141</v>
      </c>
    </row>
    <row r="10" spans="1:25" x14ac:dyDescent="0.25">
      <c r="A10" s="42">
        <v>2</v>
      </c>
      <c r="B10" s="43">
        <v>118</v>
      </c>
      <c r="C10" s="43" t="s">
        <v>114</v>
      </c>
      <c r="D10" s="155">
        <f t="shared" ref="D10:D19" si="3">0.51*(1+$Y$5)</f>
        <v>0.52745321001088141</v>
      </c>
      <c r="E10" s="44">
        <v>2348</v>
      </c>
      <c r="F10" s="71">
        <f t="shared" si="0"/>
        <v>2.2532508037042369E-2</v>
      </c>
      <c r="H10" s="72">
        <f t="shared" ref="H10:H19" si="4">+D10*E10*12</f>
        <v>14861.521645266595</v>
      </c>
      <c r="J10" s="73"/>
      <c r="K10" s="74"/>
      <c r="L10" s="64"/>
      <c r="M10" s="72">
        <f t="shared" si="1"/>
        <v>14861.521645266595</v>
      </c>
      <c r="N10" s="75">
        <f t="shared" ref="N10:N19" si="5">+M10/4</f>
        <v>3715.3804113166489</v>
      </c>
      <c r="P10" s="72">
        <f t="shared" ref="P10:P19" si="6">+T10+U10</f>
        <v>0</v>
      </c>
      <c r="R10" s="72">
        <f t="shared" ref="R10:R19" si="7">+M10+P10</f>
        <v>14861.521645266595</v>
      </c>
      <c r="T10" s="72">
        <f t="shared" si="2"/>
        <v>0</v>
      </c>
      <c r="U10" s="72"/>
    </row>
    <row r="11" spans="1:25" x14ac:dyDescent="0.25">
      <c r="A11" s="42">
        <v>3</v>
      </c>
      <c r="B11" s="43">
        <v>119</v>
      </c>
      <c r="C11" s="43" t="s">
        <v>115</v>
      </c>
      <c r="D11" s="155">
        <f t="shared" si="3"/>
        <v>0.52745321001088141</v>
      </c>
      <c r="E11" s="44">
        <v>2240</v>
      </c>
      <c r="F11" s="71">
        <f t="shared" si="0"/>
        <v>2.1496089439086416E-2</v>
      </c>
      <c r="H11" s="72">
        <f t="shared" si="4"/>
        <v>14177.942285092493</v>
      </c>
      <c r="J11" s="73"/>
      <c r="K11" s="74"/>
      <c r="L11" s="64"/>
      <c r="M11" s="72">
        <f t="shared" si="1"/>
        <v>14177.942285092493</v>
      </c>
      <c r="N11" s="75">
        <f t="shared" si="5"/>
        <v>3544.4855712731232</v>
      </c>
      <c r="P11" s="72">
        <f t="shared" si="6"/>
        <v>0</v>
      </c>
      <c r="R11" s="72">
        <f t="shared" si="7"/>
        <v>14177.942285092493</v>
      </c>
      <c r="T11" s="72">
        <f t="shared" si="2"/>
        <v>0</v>
      </c>
      <c r="U11" s="72"/>
    </row>
    <row r="12" spans="1:25" x14ac:dyDescent="0.25">
      <c r="A12" s="42">
        <v>4</v>
      </c>
      <c r="B12" s="43">
        <v>136</v>
      </c>
      <c r="C12" s="43" t="s">
        <v>116</v>
      </c>
      <c r="D12" s="155">
        <f t="shared" si="3"/>
        <v>0.52745321001088141</v>
      </c>
      <c r="E12" s="44">
        <v>1260</v>
      </c>
      <c r="F12" s="71">
        <f t="shared" si="0"/>
        <v>1.209155030948611E-2</v>
      </c>
      <c r="H12" s="72">
        <f t="shared" si="4"/>
        <v>7975.0925353645271</v>
      </c>
      <c r="J12" s="73"/>
      <c r="K12" s="74"/>
      <c r="L12" s="64"/>
      <c r="M12" s="72">
        <f t="shared" si="1"/>
        <v>7975.0925353645271</v>
      </c>
      <c r="N12" s="75">
        <f t="shared" si="5"/>
        <v>1993.7731338411318</v>
      </c>
      <c r="P12" s="72">
        <f t="shared" si="6"/>
        <v>0</v>
      </c>
      <c r="R12" s="72">
        <f t="shared" si="7"/>
        <v>7975.0925353645271</v>
      </c>
      <c r="T12" s="72">
        <f t="shared" si="2"/>
        <v>0</v>
      </c>
      <c r="U12" s="72"/>
    </row>
    <row r="13" spans="1:25" x14ac:dyDescent="0.25">
      <c r="A13" s="42">
        <v>5</v>
      </c>
      <c r="B13" s="43">
        <v>138</v>
      </c>
      <c r="C13" s="43" t="s">
        <v>117</v>
      </c>
      <c r="D13" s="155">
        <f t="shared" si="3"/>
        <v>0.52745321001088141</v>
      </c>
      <c r="E13" s="44">
        <v>163</v>
      </c>
      <c r="F13" s="71">
        <f t="shared" si="0"/>
        <v>1.5642243654335204E-3</v>
      </c>
      <c r="H13" s="72">
        <f t="shared" si="4"/>
        <v>1031.6984787812839</v>
      </c>
      <c r="J13" s="73"/>
      <c r="K13" s="74"/>
      <c r="L13" s="64"/>
      <c r="M13" s="72">
        <f t="shared" si="1"/>
        <v>1031.6984787812839</v>
      </c>
      <c r="N13" s="75">
        <f t="shared" si="5"/>
        <v>257.92461969532098</v>
      </c>
      <c r="P13" s="72">
        <f t="shared" si="6"/>
        <v>0</v>
      </c>
      <c r="R13" s="72">
        <f t="shared" si="7"/>
        <v>1031.6984787812839</v>
      </c>
      <c r="T13" s="72">
        <f t="shared" si="2"/>
        <v>0</v>
      </c>
      <c r="U13" s="72"/>
    </row>
    <row r="14" spans="1:25" x14ac:dyDescent="0.25">
      <c r="A14" s="42">
        <v>6</v>
      </c>
      <c r="B14" s="43" t="s">
        <v>118</v>
      </c>
      <c r="C14" s="43" t="s">
        <v>119</v>
      </c>
      <c r="D14" s="155">
        <f t="shared" si="3"/>
        <v>0.52745321001088141</v>
      </c>
      <c r="E14" s="44">
        <v>1312</v>
      </c>
      <c r="F14" s="71">
        <f t="shared" si="0"/>
        <v>1.25905666714649E-2</v>
      </c>
      <c r="H14" s="72">
        <f t="shared" si="4"/>
        <v>8304.2233384113169</v>
      </c>
      <c r="J14" s="73"/>
      <c r="K14" s="74"/>
      <c r="L14" s="64"/>
      <c r="M14" s="72">
        <f t="shared" si="1"/>
        <v>8304.2233384113169</v>
      </c>
      <c r="N14" s="75">
        <f t="shared" si="5"/>
        <v>2076.0558346028292</v>
      </c>
      <c r="P14" s="72">
        <f t="shared" si="6"/>
        <v>0</v>
      </c>
      <c r="R14" s="72">
        <f t="shared" si="7"/>
        <v>8304.2233384113169</v>
      </c>
      <c r="T14" s="72">
        <f t="shared" si="2"/>
        <v>0</v>
      </c>
      <c r="U14" s="72"/>
    </row>
    <row r="15" spans="1:25" x14ac:dyDescent="0.25">
      <c r="A15" s="42">
        <v>7</v>
      </c>
      <c r="B15" s="43" t="s">
        <v>120</v>
      </c>
      <c r="C15" s="43" t="s">
        <v>121</v>
      </c>
      <c r="D15" s="155">
        <f t="shared" si="3"/>
        <v>0.52745321001088141</v>
      </c>
      <c r="E15" s="44">
        <v>1070</v>
      </c>
      <c r="F15" s="71">
        <f t="shared" si="0"/>
        <v>1.02682212945636E-2</v>
      </c>
      <c r="H15" s="72">
        <f t="shared" si="4"/>
        <v>6772.499216539718</v>
      </c>
      <c r="J15" s="73"/>
      <c r="K15" s="74"/>
      <c r="L15" s="64"/>
      <c r="M15" s="72">
        <f t="shared" si="1"/>
        <v>6772.499216539718</v>
      </c>
      <c r="N15" s="75">
        <f t="shared" si="5"/>
        <v>1693.1248041349295</v>
      </c>
      <c r="P15" s="72">
        <f t="shared" si="6"/>
        <v>0</v>
      </c>
      <c r="R15" s="72">
        <f t="shared" si="7"/>
        <v>6772.499216539718</v>
      </c>
      <c r="T15" s="72">
        <f t="shared" si="2"/>
        <v>0</v>
      </c>
      <c r="U15" s="72"/>
    </row>
    <row r="16" spans="1:25" x14ac:dyDescent="0.25">
      <c r="A16" s="42">
        <v>8</v>
      </c>
      <c r="B16" s="43">
        <v>215</v>
      </c>
      <c r="C16" s="43" t="s">
        <v>122</v>
      </c>
      <c r="D16" s="155">
        <f t="shared" si="3"/>
        <v>0.52745321001088141</v>
      </c>
      <c r="E16" s="44">
        <v>838</v>
      </c>
      <c r="F16" s="71">
        <f t="shared" si="0"/>
        <v>8.0418406026582217E-3</v>
      </c>
      <c r="H16" s="72">
        <f t="shared" si="4"/>
        <v>5304.069479869424</v>
      </c>
      <c r="J16" s="73"/>
      <c r="K16" s="74"/>
      <c r="L16" s="64"/>
      <c r="M16" s="72">
        <f t="shared" si="1"/>
        <v>5304.069479869424</v>
      </c>
      <c r="N16" s="75">
        <f t="shared" si="5"/>
        <v>1326.017369967356</v>
      </c>
      <c r="P16" s="72">
        <f t="shared" si="6"/>
        <v>0</v>
      </c>
      <c r="R16" s="72">
        <f t="shared" si="7"/>
        <v>5304.069479869424</v>
      </c>
      <c r="T16" s="72">
        <f t="shared" si="2"/>
        <v>0</v>
      </c>
      <c r="U16" s="72"/>
    </row>
    <row r="17" spans="1:25" x14ac:dyDescent="0.25">
      <c r="A17" s="42">
        <v>9</v>
      </c>
      <c r="B17" s="43" t="s">
        <v>123</v>
      </c>
      <c r="C17" s="43" t="s">
        <v>124</v>
      </c>
      <c r="D17" s="155">
        <f t="shared" si="3"/>
        <v>0.52745321001088141</v>
      </c>
      <c r="E17" s="44">
        <v>499</v>
      </c>
      <c r="F17" s="71">
        <f t="shared" si="0"/>
        <v>4.7886377812964825E-3</v>
      </c>
      <c r="H17" s="72">
        <f t="shared" si="4"/>
        <v>3158.3898215451582</v>
      </c>
      <c r="J17" s="73"/>
      <c r="K17" s="74"/>
      <c r="L17" s="64"/>
      <c r="M17" s="72">
        <f t="shared" si="1"/>
        <v>3158.3898215451582</v>
      </c>
      <c r="N17" s="75">
        <f t="shared" si="5"/>
        <v>789.59745538628954</v>
      </c>
      <c r="P17" s="72">
        <f t="shared" si="6"/>
        <v>0</v>
      </c>
      <c r="R17" s="72">
        <f t="shared" si="7"/>
        <v>3158.3898215451582</v>
      </c>
      <c r="T17" s="72">
        <f t="shared" si="2"/>
        <v>0</v>
      </c>
      <c r="U17" s="72"/>
    </row>
    <row r="18" spans="1:25" x14ac:dyDescent="0.25">
      <c r="A18" s="42">
        <v>10</v>
      </c>
      <c r="B18" s="43" t="s">
        <v>125</v>
      </c>
      <c r="C18" s="43" t="s">
        <v>126</v>
      </c>
      <c r="D18" s="155">
        <f t="shared" si="3"/>
        <v>0.52745321001088141</v>
      </c>
      <c r="E18" s="44">
        <v>498</v>
      </c>
      <c r="F18" s="71">
        <f t="shared" si="0"/>
        <v>4.7790413127968903E-3</v>
      </c>
      <c r="H18" s="72">
        <f t="shared" si="4"/>
        <v>3152.0603830250275</v>
      </c>
      <c r="J18" s="73"/>
      <c r="K18" s="74"/>
      <c r="L18" s="64"/>
      <c r="M18" s="72">
        <f t="shared" si="1"/>
        <v>3152.0603830250275</v>
      </c>
      <c r="N18" s="75">
        <f t="shared" si="5"/>
        <v>788.01509575625687</v>
      </c>
      <c r="P18" s="72">
        <f t="shared" si="6"/>
        <v>0</v>
      </c>
      <c r="R18" s="72">
        <f t="shared" si="7"/>
        <v>3152.0603830250275</v>
      </c>
      <c r="T18" s="72">
        <f t="shared" si="2"/>
        <v>0</v>
      </c>
      <c r="U18" s="72"/>
    </row>
    <row r="19" spans="1:25" x14ac:dyDescent="0.25">
      <c r="A19" s="42">
        <v>11</v>
      </c>
      <c r="B19" s="43">
        <v>218</v>
      </c>
      <c r="C19" s="43" t="s">
        <v>127</v>
      </c>
      <c r="D19" s="155">
        <f t="shared" si="3"/>
        <v>0.52745321001088141</v>
      </c>
      <c r="E19" s="44">
        <v>3536</v>
      </c>
      <c r="F19" s="71">
        <f t="shared" si="0"/>
        <v>3.3933112614557844E-2</v>
      </c>
      <c r="H19" s="72">
        <f t="shared" si="4"/>
        <v>22380.894607181719</v>
      </c>
      <c r="J19" s="73"/>
      <c r="K19" s="74"/>
      <c r="L19" s="64"/>
      <c r="M19" s="72">
        <f t="shared" si="1"/>
        <v>22380.894607181719</v>
      </c>
      <c r="N19" s="75">
        <f t="shared" si="5"/>
        <v>5595.2236517954298</v>
      </c>
      <c r="P19" s="72">
        <f t="shared" si="6"/>
        <v>0</v>
      </c>
      <c r="R19" s="72">
        <f t="shared" si="7"/>
        <v>22380.894607181719</v>
      </c>
      <c r="T19" s="72">
        <f t="shared" si="2"/>
        <v>0</v>
      </c>
      <c r="U19" s="72"/>
      <c r="W19" s="25">
        <v>21640.32</v>
      </c>
      <c r="X19" s="133">
        <f>+R19-W19</f>
        <v>740.57460718171933</v>
      </c>
      <c r="Y19" s="25">
        <f>+X19/W19</f>
        <v>3.4221980413492933E-2</v>
      </c>
    </row>
    <row r="20" spans="1:25" x14ac:dyDescent="0.25">
      <c r="A20" s="42"/>
      <c r="B20" s="43"/>
      <c r="C20" s="43"/>
      <c r="D20" s="155"/>
      <c r="E20" s="44"/>
      <c r="F20" s="71"/>
      <c r="H20" s="72"/>
      <c r="J20" s="73"/>
      <c r="K20" s="76"/>
      <c r="L20" s="64"/>
      <c r="M20" s="72"/>
      <c r="N20" s="77"/>
      <c r="P20" s="72"/>
      <c r="R20" s="72"/>
      <c r="T20" s="72"/>
      <c r="U20" s="72"/>
    </row>
    <row r="21" spans="1:25" s="52" customFormat="1" ht="13.5" thickBot="1" x14ac:dyDescent="0.25">
      <c r="A21" s="78" t="s">
        <v>128</v>
      </c>
      <c r="B21" s="79"/>
      <c r="C21" s="79"/>
      <c r="D21" s="161"/>
      <c r="E21" s="80">
        <f>SUM(E9:E19)</f>
        <v>15814</v>
      </c>
      <c r="F21" s="81">
        <f>+E21/$E$130</f>
        <v>0.15175855285255027</v>
      </c>
      <c r="H21" s="82">
        <f>SUM(H9:H20)</f>
        <v>100093.74075734496</v>
      </c>
      <c r="I21" s="83"/>
      <c r="J21" s="84">
        <f>SUM(J9:J20)</f>
        <v>0</v>
      </c>
      <c r="K21" s="85">
        <f>SUM(K9:K20)</f>
        <v>0</v>
      </c>
      <c r="L21" s="86"/>
      <c r="M21" s="82">
        <f>SUM(M9:M20)</f>
        <v>100093.74075734496</v>
      </c>
      <c r="N21" s="87">
        <f>SUM(N9:N20)</f>
        <v>25023.43518933624</v>
      </c>
      <c r="P21" s="82">
        <f>SUM(P9:P20)</f>
        <v>0</v>
      </c>
      <c r="R21" s="82">
        <f>SUM(R9:R20)</f>
        <v>100093.74075734496</v>
      </c>
      <c r="T21" s="82">
        <f>SUM(T9:T20)</f>
        <v>0</v>
      </c>
      <c r="U21" s="82">
        <f>SUM(U9:U20)</f>
        <v>0</v>
      </c>
    </row>
    <row r="22" spans="1:25" ht="15.75" thickTop="1" x14ac:dyDescent="0.25">
      <c r="A22" s="42"/>
      <c r="B22" s="43"/>
      <c r="C22" s="43"/>
      <c r="D22" s="155"/>
      <c r="E22" s="44"/>
      <c r="F22" s="71"/>
      <c r="H22" s="72"/>
      <c r="J22" s="73"/>
      <c r="K22" s="76"/>
      <c r="L22" s="64"/>
      <c r="M22" s="72"/>
      <c r="N22" s="77"/>
      <c r="P22" s="72"/>
      <c r="R22" s="72"/>
      <c r="T22" s="72"/>
      <c r="U22" s="72"/>
    </row>
    <row r="23" spans="1:25" x14ac:dyDescent="0.25">
      <c r="A23" s="49" t="s">
        <v>129</v>
      </c>
      <c r="B23" s="43"/>
      <c r="C23" s="43"/>
      <c r="D23" s="155"/>
      <c r="E23" s="44"/>
      <c r="F23" s="71"/>
      <c r="H23" s="72"/>
      <c r="J23" s="73"/>
      <c r="K23" s="76"/>
      <c r="L23" s="64"/>
      <c r="M23" s="72"/>
      <c r="N23" s="77"/>
      <c r="P23" s="72"/>
      <c r="R23" s="72"/>
      <c r="T23" s="72"/>
      <c r="U23" s="72"/>
    </row>
    <row r="24" spans="1:25" x14ac:dyDescent="0.25">
      <c r="A24" s="42">
        <v>1</v>
      </c>
      <c r="B24" s="43">
        <v>323</v>
      </c>
      <c r="C24" s="43" t="s">
        <v>130</v>
      </c>
      <c r="D24" s="155">
        <f>0.59*(1+$Y$5)</f>
        <v>0.61019096844396081</v>
      </c>
      <c r="E24" s="44">
        <v>2500</v>
      </c>
      <c r="F24" s="71">
        <f t="shared" ref="F24:F40" si="8">+E24/$E$130</f>
        <v>2.3991171248980377E-2</v>
      </c>
      <c r="H24" s="72">
        <f>+D24*E24*12</f>
        <v>18305.729053318824</v>
      </c>
      <c r="J24" s="73"/>
      <c r="K24" s="74">
        <f>250*1.1604</f>
        <v>290.10000000000002</v>
      </c>
      <c r="L24" s="64"/>
      <c r="M24" s="72">
        <f t="shared" ref="M24:M40" si="9">+H24+J24+K24</f>
        <v>18595.829053318823</v>
      </c>
      <c r="N24" s="75">
        <f t="shared" ref="N24:N40" si="10">+M24/4</f>
        <v>4648.9572633297057</v>
      </c>
      <c r="P24" s="72">
        <f t="shared" ref="P24:P40" si="11">+T24+U24</f>
        <v>0</v>
      </c>
      <c r="R24" s="72">
        <f t="shared" ref="R24:R40" si="12">+M24+P24</f>
        <v>18595.829053318823</v>
      </c>
      <c r="T24" s="72">
        <f t="shared" ref="T24:T40" si="13">+$F24*$T$134</f>
        <v>0</v>
      </c>
      <c r="U24" s="72"/>
      <c r="W24" s="25">
        <v>0.59</v>
      </c>
      <c r="X24" s="25">
        <f t="shared" ref="X24" si="14">+(D24-W24)/W24</f>
        <v>3.4221980413492954E-2</v>
      </c>
      <c r="Y24" s="25">
        <f>+W24*(1+$Y$5)</f>
        <v>0.61019096844396081</v>
      </c>
    </row>
    <row r="25" spans="1:25" x14ac:dyDescent="0.25">
      <c r="A25" s="42">
        <v>2</v>
      </c>
      <c r="B25" s="43">
        <v>324</v>
      </c>
      <c r="C25" s="43" t="s">
        <v>131</v>
      </c>
      <c r="D25" s="155">
        <f t="shared" ref="D25:D40" si="15">0.59*(1+$Y$5)</f>
        <v>0.61019096844396081</v>
      </c>
      <c r="E25" s="44">
        <v>2305</v>
      </c>
      <c r="F25" s="71">
        <f t="shared" si="8"/>
        <v>2.2119859891559904E-2</v>
      </c>
      <c r="H25" s="72">
        <f t="shared" ref="H25:H40" si="16">+D25*E25*12</f>
        <v>16877.882187159958</v>
      </c>
      <c r="J25" s="73"/>
      <c r="K25" s="74"/>
      <c r="L25" s="64"/>
      <c r="M25" s="72">
        <f t="shared" si="9"/>
        <v>16877.882187159958</v>
      </c>
      <c r="N25" s="75">
        <f t="shared" si="10"/>
        <v>4219.4705467899894</v>
      </c>
      <c r="P25" s="72">
        <f t="shared" si="11"/>
        <v>0</v>
      </c>
      <c r="R25" s="72">
        <f t="shared" si="12"/>
        <v>16877.882187159958</v>
      </c>
      <c r="T25" s="72">
        <f t="shared" si="13"/>
        <v>0</v>
      </c>
      <c r="U25" s="72"/>
    </row>
    <row r="26" spans="1:25" x14ac:dyDescent="0.25">
      <c r="A26" s="42">
        <v>3</v>
      </c>
      <c r="B26" s="43">
        <v>325</v>
      </c>
      <c r="C26" s="43" t="s">
        <v>132</v>
      </c>
      <c r="D26" s="155">
        <f t="shared" si="15"/>
        <v>0.61019096844396081</v>
      </c>
      <c r="E26" s="44">
        <v>2325</v>
      </c>
      <c r="F26" s="71">
        <f t="shared" si="8"/>
        <v>2.2311789261551748E-2</v>
      </c>
      <c r="H26" s="72">
        <f t="shared" si="16"/>
        <v>17024.328019586508</v>
      </c>
      <c r="J26" s="73"/>
      <c r="K26" s="74"/>
      <c r="L26" s="64"/>
      <c r="M26" s="72">
        <f t="shared" si="9"/>
        <v>17024.328019586508</v>
      </c>
      <c r="N26" s="75">
        <f t="shared" si="10"/>
        <v>4256.082004896627</v>
      </c>
      <c r="P26" s="72">
        <f t="shared" si="11"/>
        <v>0</v>
      </c>
      <c r="R26" s="72">
        <f t="shared" si="12"/>
        <v>17024.328019586508</v>
      </c>
      <c r="T26" s="72">
        <f t="shared" si="13"/>
        <v>0</v>
      </c>
      <c r="U26" s="72"/>
    </row>
    <row r="27" spans="1:25" x14ac:dyDescent="0.25">
      <c r="A27" s="42">
        <v>4</v>
      </c>
      <c r="B27" s="43">
        <v>411</v>
      </c>
      <c r="C27" s="43" t="s">
        <v>133</v>
      </c>
      <c r="D27" s="155">
        <f t="shared" si="15"/>
        <v>0.61019096844396081</v>
      </c>
      <c r="E27" s="44">
        <v>2618</v>
      </c>
      <c r="F27" s="71">
        <f t="shared" si="8"/>
        <v>2.5123554531932248E-2</v>
      </c>
      <c r="H27" s="72">
        <f t="shared" si="16"/>
        <v>19169.759464635474</v>
      </c>
      <c r="J27" s="88"/>
      <c r="K27" s="74"/>
      <c r="L27" s="64"/>
      <c r="M27" s="72">
        <f t="shared" si="9"/>
        <v>19169.759464635474</v>
      </c>
      <c r="N27" s="75">
        <f t="shared" si="10"/>
        <v>4792.4398661588684</v>
      </c>
      <c r="P27" s="72">
        <f t="shared" si="11"/>
        <v>0</v>
      </c>
      <c r="R27" s="72">
        <f t="shared" si="12"/>
        <v>19169.759464635474</v>
      </c>
      <c r="T27" s="72">
        <f t="shared" si="13"/>
        <v>0</v>
      </c>
      <c r="U27" s="72"/>
    </row>
    <row r="28" spans="1:25" x14ac:dyDescent="0.25">
      <c r="A28" s="42">
        <v>5</v>
      </c>
      <c r="B28" s="43">
        <v>420</v>
      </c>
      <c r="C28" s="43" t="s">
        <v>134</v>
      </c>
      <c r="D28" s="155">
        <f t="shared" si="15"/>
        <v>0.61019096844396081</v>
      </c>
      <c r="E28" s="44">
        <v>2500</v>
      </c>
      <c r="F28" s="71">
        <f t="shared" si="8"/>
        <v>2.3991171248980377E-2</v>
      </c>
      <c r="H28" s="72">
        <f t="shared" si="16"/>
        <v>18305.729053318824</v>
      </c>
      <c r="J28" s="73"/>
      <c r="K28" s="74"/>
      <c r="L28" s="64"/>
      <c r="M28" s="72">
        <f t="shared" si="9"/>
        <v>18305.729053318824</v>
      </c>
      <c r="N28" s="75">
        <f t="shared" si="10"/>
        <v>4576.4322633297061</v>
      </c>
      <c r="P28" s="72">
        <f t="shared" si="11"/>
        <v>0</v>
      </c>
      <c r="R28" s="72">
        <f t="shared" si="12"/>
        <v>18305.729053318824</v>
      </c>
      <c r="T28" s="72">
        <f t="shared" si="13"/>
        <v>0</v>
      </c>
      <c r="U28" s="72"/>
    </row>
    <row r="29" spans="1:25" x14ac:dyDescent="0.25">
      <c r="A29" s="42">
        <v>6</v>
      </c>
      <c r="B29" s="43">
        <v>421</v>
      </c>
      <c r="C29" s="43" t="s">
        <v>135</v>
      </c>
      <c r="D29" s="155">
        <f t="shared" si="15"/>
        <v>0.61019096844396081</v>
      </c>
      <c r="E29" s="44">
        <v>2306</v>
      </c>
      <c r="F29" s="71">
        <f t="shared" si="8"/>
        <v>2.2129456360059498E-2</v>
      </c>
      <c r="H29" s="72">
        <f t="shared" si="16"/>
        <v>16885.204478781285</v>
      </c>
      <c r="J29" s="73"/>
      <c r="K29" s="74"/>
      <c r="L29" s="64"/>
      <c r="M29" s="72">
        <f t="shared" si="9"/>
        <v>16885.204478781285</v>
      </c>
      <c r="N29" s="75">
        <f t="shared" si="10"/>
        <v>4221.3011196953212</v>
      </c>
      <c r="P29" s="72">
        <f t="shared" si="11"/>
        <v>0</v>
      </c>
      <c r="R29" s="72">
        <f t="shared" si="12"/>
        <v>16885.204478781285</v>
      </c>
      <c r="T29" s="72">
        <f t="shared" si="13"/>
        <v>0</v>
      </c>
      <c r="U29" s="72"/>
    </row>
    <row r="30" spans="1:25" x14ac:dyDescent="0.25">
      <c r="A30" s="42">
        <v>7</v>
      </c>
      <c r="B30" s="43">
        <v>422</v>
      </c>
      <c r="C30" s="43" t="s">
        <v>136</v>
      </c>
      <c r="D30" s="155">
        <f t="shared" si="15"/>
        <v>0.61019096844396081</v>
      </c>
      <c r="E30" s="44">
        <v>2316</v>
      </c>
      <c r="F30" s="71">
        <f t="shared" si="8"/>
        <v>2.222542104505542E-2</v>
      </c>
      <c r="H30" s="72">
        <f t="shared" si="16"/>
        <v>16958.42739499456</v>
      </c>
      <c r="J30" s="73"/>
      <c r="K30" s="74"/>
      <c r="L30" s="64"/>
      <c r="M30" s="72">
        <f t="shared" si="9"/>
        <v>16958.42739499456</v>
      </c>
      <c r="N30" s="75">
        <f t="shared" si="10"/>
        <v>4239.60684874864</v>
      </c>
      <c r="P30" s="72">
        <f t="shared" si="11"/>
        <v>0</v>
      </c>
      <c r="R30" s="72">
        <f t="shared" si="12"/>
        <v>16958.42739499456</v>
      </c>
      <c r="T30" s="72">
        <f t="shared" si="13"/>
        <v>0</v>
      </c>
      <c r="U30" s="72"/>
    </row>
    <row r="31" spans="1:25" x14ac:dyDescent="0.25">
      <c r="A31" s="42">
        <v>8</v>
      </c>
      <c r="B31" s="43">
        <v>506</v>
      </c>
      <c r="C31" s="43" t="s">
        <v>137</v>
      </c>
      <c r="D31" s="155">
        <f t="shared" si="15"/>
        <v>0.61019096844396081</v>
      </c>
      <c r="E31" s="44">
        <v>3564</v>
      </c>
      <c r="F31" s="71">
        <f t="shared" si="8"/>
        <v>3.4201813732546424E-2</v>
      </c>
      <c r="H31" s="72">
        <f t="shared" si="16"/>
        <v>26096.64733841132</v>
      </c>
      <c r="J31" s="73"/>
      <c r="K31" s="74"/>
      <c r="L31" s="64"/>
      <c r="M31" s="72">
        <f t="shared" si="9"/>
        <v>26096.64733841132</v>
      </c>
      <c r="N31" s="75">
        <f t="shared" si="10"/>
        <v>6524.1618346028299</v>
      </c>
      <c r="P31" s="72">
        <f t="shared" si="11"/>
        <v>0</v>
      </c>
      <c r="R31" s="72">
        <f t="shared" si="12"/>
        <v>26096.64733841132</v>
      </c>
      <c r="T31" s="72">
        <f t="shared" si="13"/>
        <v>0</v>
      </c>
      <c r="U31" s="72"/>
    </row>
    <row r="32" spans="1:25" x14ac:dyDescent="0.25">
      <c r="A32" s="42">
        <v>9</v>
      </c>
      <c r="B32" s="43">
        <v>509</v>
      </c>
      <c r="C32" s="43" t="s">
        <v>138</v>
      </c>
      <c r="D32" s="155">
        <f t="shared" si="15"/>
        <v>0.61019096844396081</v>
      </c>
      <c r="E32" s="44">
        <v>2664</v>
      </c>
      <c r="F32" s="71">
        <f t="shared" si="8"/>
        <v>2.5564992082913487E-2</v>
      </c>
      <c r="H32" s="72">
        <f t="shared" si="16"/>
        <v>19506.584879216542</v>
      </c>
      <c r="J32" s="73"/>
      <c r="K32" s="74"/>
      <c r="L32" s="64"/>
      <c r="M32" s="72">
        <f t="shared" si="9"/>
        <v>19506.584879216542</v>
      </c>
      <c r="N32" s="75">
        <f t="shared" si="10"/>
        <v>4876.6462198041354</v>
      </c>
      <c r="P32" s="72">
        <f t="shared" si="11"/>
        <v>0</v>
      </c>
      <c r="R32" s="72">
        <f t="shared" si="12"/>
        <v>19506.584879216542</v>
      </c>
      <c r="T32" s="72">
        <f t="shared" si="13"/>
        <v>0</v>
      </c>
      <c r="U32" s="72"/>
    </row>
    <row r="33" spans="1:25" x14ac:dyDescent="0.25">
      <c r="A33" s="42">
        <v>10</v>
      </c>
      <c r="B33" s="43">
        <v>510</v>
      </c>
      <c r="C33" s="43" t="s">
        <v>139</v>
      </c>
      <c r="D33" s="155">
        <f t="shared" si="15"/>
        <v>0.61019096844396081</v>
      </c>
      <c r="E33" s="44">
        <v>2845</v>
      </c>
      <c r="F33" s="71">
        <f t="shared" si="8"/>
        <v>2.7301952881339665E-2</v>
      </c>
      <c r="H33" s="72">
        <f t="shared" si="16"/>
        <v>20831.919662676824</v>
      </c>
      <c r="J33" s="73"/>
      <c r="K33" s="74"/>
      <c r="L33" s="64"/>
      <c r="M33" s="72">
        <f t="shared" si="9"/>
        <v>20831.919662676824</v>
      </c>
      <c r="N33" s="75">
        <f t="shared" si="10"/>
        <v>5207.9799156692061</v>
      </c>
      <c r="P33" s="72">
        <f t="shared" si="11"/>
        <v>0</v>
      </c>
      <c r="R33" s="72">
        <f t="shared" si="12"/>
        <v>20831.919662676824</v>
      </c>
      <c r="T33" s="72">
        <f t="shared" si="13"/>
        <v>0</v>
      </c>
      <c r="U33" s="72"/>
    </row>
    <row r="34" spans="1:25" x14ac:dyDescent="0.25">
      <c r="A34" s="42">
        <v>11</v>
      </c>
      <c r="B34" s="43">
        <v>511</v>
      </c>
      <c r="C34" s="43" t="s">
        <v>140</v>
      </c>
      <c r="D34" s="155">
        <f t="shared" si="15"/>
        <v>0.61019096844396081</v>
      </c>
      <c r="E34" s="44">
        <v>3276</v>
      </c>
      <c r="F34" s="71">
        <f t="shared" si="8"/>
        <v>3.1438030804663883E-2</v>
      </c>
      <c r="H34" s="72">
        <f t="shared" si="16"/>
        <v>23987.827351468986</v>
      </c>
      <c r="J34" s="73"/>
      <c r="K34" s="74"/>
      <c r="L34" s="64"/>
      <c r="M34" s="72">
        <f t="shared" si="9"/>
        <v>23987.827351468986</v>
      </c>
      <c r="N34" s="75">
        <f t="shared" si="10"/>
        <v>5996.9568378672466</v>
      </c>
      <c r="P34" s="72">
        <f t="shared" si="11"/>
        <v>0</v>
      </c>
      <c r="R34" s="72">
        <f t="shared" si="12"/>
        <v>23987.827351468986</v>
      </c>
      <c r="T34" s="72">
        <f t="shared" si="13"/>
        <v>0</v>
      </c>
      <c r="U34" s="72"/>
    </row>
    <row r="35" spans="1:25" x14ac:dyDescent="0.25">
      <c r="A35" s="42">
        <v>12</v>
      </c>
      <c r="B35" s="43">
        <v>512</v>
      </c>
      <c r="C35" s="43" t="s">
        <v>141</v>
      </c>
      <c r="D35" s="155">
        <f t="shared" si="15"/>
        <v>0.61019096844396081</v>
      </c>
      <c r="E35" s="44">
        <v>2510</v>
      </c>
      <c r="F35" s="71">
        <f t="shared" si="8"/>
        <v>2.4087135933976298E-2</v>
      </c>
      <c r="H35" s="72">
        <f t="shared" si="16"/>
        <v>18378.9519695321</v>
      </c>
      <c r="J35" s="73"/>
      <c r="K35" s="74"/>
      <c r="L35" s="64"/>
      <c r="M35" s="72">
        <f t="shared" si="9"/>
        <v>18378.9519695321</v>
      </c>
      <c r="N35" s="75">
        <f t="shared" si="10"/>
        <v>4594.7379923830249</v>
      </c>
      <c r="P35" s="72">
        <f t="shared" si="11"/>
        <v>0</v>
      </c>
      <c r="R35" s="72">
        <f t="shared" si="12"/>
        <v>18378.9519695321</v>
      </c>
      <c r="T35" s="72">
        <f t="shared" si="13"/>
        <v>0</v>
      </c>
      <c r="U35" s="72"/>
    </row>
    <row r="36" spans="1:25" x14ac:dyDescent="0.25">
      <c r="A36" s="42">
        <v>13</v>
      </c>
      <c r="B36" s="43">
        <v>601</v>
      </c>
      <c r="C36" s="43" t="s">
        <v>142</v>
      </c>
      <c r="D36" s="155">
        <f t="shared" si="15"/>
        <v>0.61019096844396081</v>
      </c>
      <c r="E36" s="44">
        <v>885</v>
      </c>
      <c r="F36" s="71">
        <f t="shared" si="8"/>
        <v>8.492874622139053E-3</v>
      </c>
      <c r="H36" s="72">
        <f t="shared" si="16"/>
        <v>6480.2280848748633</v>
      </c>
      <c r="J36" s="73"/>
      <c r="K36" s="74"/>
      <c r="L36" s="64"/>
      <c r="M36" s="72">
        <f t="shared" si="9"/>
        <v>6480.2280848748633</v>
      </c>
      <c r="N36" s="75">
        <f t="shared" si="10"/>
        <v>1620.0570212187158</v>
      </c>
      <c r="P36" s="72">
        <f t="shared" si="11"/>
        <v>0</v>
      </c>
      <c r="R36" s="72">
        <f t="shared" si="12"/>
        <v>6480.2280848748633</v>
      </c>
      <c r="T36" s="72">
        <f t="shared" si="13"/>
        <v>0</v>
      </c>
      <c r="U36" s="72"/>
    </row>
    <row r="37" spans="1:25" x14ac:dyDescent="0.25">
      <c r="A37" s="42">
        <v>14</v>
      </c>
      <c r="B37" s="43">
        <v>602</v>
      </c>
      <c r="C37" s="43" t="s">
        <v>142</v>
      </c>
      <c r="D37" s="155">
        <f t="shared" si="15"/>
        <v>0.61019096844396081</v>
      </c>
      <c r="E37" s="44">
        <v>3723</v>
      </c>
      <c r="F37" s="71">
        <f t="shared" si="8"/>
        <v>3.5727652223981575E-2</v>
      </c>
      <c r="H37" s="72">
        <f t="shared" si="16"/>
        <v>27260.89170620239</v>
      </c>
      <c r="J37" s="73"/>
      <c r="K37" s="74"/>
      <c r="L37" s="64"/>
      <c r="M37" s="72">
        <f t="shared" si="9"/>
        <v>27260.89170620239</v>
      </c>
      <c r="N37" s="75">
        <f t="shared" si="10"/>
        <v>6815.2229265505975</v>
      </c>
      <c r="P37" s="72">
        <f t="shared" si="11"/>
        <v>0</v>
      </c>
      <c r="R37" s="72">
        <f t="shared" si="12"/>
        <v>27260.89170620239</v>
      </c>
      <c r="T37" s="72">
        <f t="shared" si="13"/>
        <v>0</v>
      </c>
      <c r="U37" s="72"/>
    </row>
    <row r="38" spans="1:25" x14ac:dyDescent="0.25">
      <c r="A38" s="42">
        <v>15</v>
      </c>
      <c r="B38" s="43">
        <v>603</v>
      </c>
      <c r="C38" s="43" t="s">
        <v>143</v>
      </c>
      <c r="D38" s="155">
        <f t="shared" si="15"/>
        <v>0.61019096844396081</v>
      </c>
      <c r="E38" s="44">
        <v>2893</v>
      </c>
      <c r="F38" s="71">
        <f t="shared" si="8"/>
        <v>2.7762583369320089E-2</v>
      </c>
      <c r="H38" s="72">
        <f t="shared" si="16"/>
        <v>21183.389660500543</v>
      </c>
      <c r="J38" s="73"/>
      <c r="K38" s="74"/>
      <c r="L38" s="64"/>
      <c r="M38" s="72">
        <f t="shared" si="9"/>
        <v>21183.389660500543</v>
      </c>
      <c r="N38" s="75">
        <f t="shared" si="10"/>
        <v>5295.8474151251357</v>
      </c>
      <c r="P38" s="72">
        <f t="shared" si="11"/>
        <v>0</v>
      </c>
      <c r="R38" s="72">
        <f t="shared" si="12"/>
        <v>21183.389660500543</v>
      </c>
      <c r="T38" s="72">
        <f t="shared" si="13"/>
        <v>0</v>
      </c>
      <c r="U38" s="72"/>
    </row>
    <row r="39" spans="1:25" x14ac:dyDescent="0.25">
      <c r="A39" s="42">
        <v>16</v>
      </c>
      <c r="B39" s="43">
        <v>604</v>
      </c>
      <c r="C39" s="43" t="s">
        <v>144</v>
      </c>
      <c r="D39" s="155">
        <f t="shared" si="15"/>
        <v>0.61019096844396081</v>
      </c>
      <c r="E39" s="44">
        <v>4295</v>
      </c>
      <c r="F39" s="71">
        <f t="shared" si="8"/>
        <v>4.1216832205748281E-2</v>
      </c>
      <c r="H39" s="72">
        <f t="shared" si="16"/>
        <v>31449.242513601741</v>
      </c>
      <c r="J39" s="73"/>
      <c r="K39" s="74"/>
      <c r="L39" s="64"/>
      <c r="M39" s="72">
        <f t="shared" si="9"/>
        <v>31449.242513601741</v>
      </c>
      <c r="N39" s="75">
        <f t="shared" si="10"/>
        <v>7862.3106284004352</v>
      </c>
      <c r="P39" s="72">
        <f t="shared" si="11"/>
        <v>0</v>
      </c>
      <c r="R39" s="72">
        <f t="shared" si="12"/>
        <v>31449.242513601741</v>
      </c>
      <c r="T39" s="72">
        <f t="shared" si="13"/>
        <v>0</v>
      </c>
      <c r="U39" s="72"/>
    </row>
    <row r="40" spans="1:25" x14ac:dyDescent="0.25">
      <c r="A40" s="42">
        <v>17</v>
      </c>
      <c r="B40" s="43">
        <v>605</v>
      </c>
      <c r="C40" s="43" t="s">
        <v>145</v>
      </c>
      <c r="D40" s="155">
        <f t="shared" si="15"/>
        <v>0.61019096844396081</v>
      </c>
      <c r="E40" s="44">
        <v>3400</v>
      </c>
      <c r="F40" s="71">
        <f t="shared" si="8"/>
        <v>3.262799289861331E-2</v>
      </c>
      <c r="H40" s="72">
        <f t="shared" si="16"/>
        <v>24895.791512513602</v>
      </c>
      <c r="J40" s="73"/>
      <c r="K40" s="74">
        <f>250*1.1604</f>
        <v>290.10000000000002</v>
      </c>
      <c r="L40" s="64"/>
      <c r="M40" s="72">
        <f t="shared" si="9"/>
        <v>25185.891512513601</v>
      </c>
      <c r="N40" s="75">
        <f t="shared" si="10"/>
        <v>6296.4728781284002</v>
      </c>
      <c r="P40" s="72">
        <f t="shared" si="11"/>
        <v>0</v>
      </c>
      <c r="R40" s="72">
        <f t="shared" si="12"/>
        <v>25185.891512513601</v>
      </c>
      <c r="T40" s="72">
        <f t="shared" si="13"/>
        <v>0</v>
      </c>
      <c r="U40" s="72"/>
    </row>
    <row r="41" spans="1:25" x14ac:dyDescent="0.25">
      <c r="A41" s="42"/>
      <c r="B41" s="43"/>
      <c r="C41" s="43"/>
      <c r="D41" s="155"/>
      <c r="E41" s="44"/>
      <c r="F41" s="71"/>
      <c r="H41" s="72"/>
      <c r="J41" s="73"/>
      <c r="K41" s="76"/>
      <c r="L41" s="64"/>
      <c r="M41" s="72"/>
      <c r="N41" s="77"/>
      <c r="P41" s="72"/>
      <c r="R41" s="72"/>
      <c r="T41" s="72"/>
      <c r="U41" s="72"/>
    </row>
    <row r="42" spans="1:25" s="52" customFormat="1" ht="13.5" thickBot="1" x14ac:dyDescent="0.25">
      <c r="A42" s="78" t="s">
        <v>128</v>
      </c>
      <c r="B42" s="79"/>
      <c r="C42" s="79"/>
      <c r="D42" s="161"/>
      <c r="E42" s="80">
        <f>SUM(E24:E40)</f>
        <v>46925</v>
      </c>
      <c r="F42" s="81">
        <f>+E42/$E$130</f>
        <v>0.45031428434336163</v>
      </c>
      <c r="H42" s="82">
        <f>SUM(H24:H41)</f>
        <v>343598.53433079435</v>
      </c>
      <c r="I42" s="83"/>
      <c r="J42" s="84">
        <f>SUM(J24:J41)</f>
        <v>0</v>
      </c>
      <c r="K42" s="85">
        <f>SUM(K24:K41)</f>
        <v>580.20000000000005</v>
      </c>
      <c r="L42" s="86"/>
      <c r="M42" s="82">
        <f>SUM(M24:M41)</f>
        <v>344178.73433079437</v>
      </c>
      <c r="N42" s="87">
        <f>SUM(N24:N41)</f>
        <v>86044.683582698592</v>
      </c>
      <c r="P42" s="82">
        <f>SUM(P24:P41)</f>
        <v>0</v>
      </c>
      <c r="R42" s="82">
        <f>SUM(R24:R41)</f>
        <v>344178.73433079437</v>
      </c>
      <c r="T42" s="82">
        <f>SUM(T24:T41)</f>
        <v>0</v>
      </c>
      <c r="U42" s="82">
        <f>SUM(U24:U41)</f>
        <v>0</v>
      </c>
    </row>
    <row r="43" spans="1:25" ht="15.75" thickTop="1" x14ac:dyDescent="0.25">
      <c r="A43" s="42"/>
      <c r="B43" s="43"/>
      <c r="C43" s="43"/>
      <c r="D43" s="155"/>
      <c r="E43" s="44"/>
      <c r="F43" s="71"/>
      <c r="H43" s="72"/>
      <c r="J43" s="73"/>
      <c r="K43" s="76"/>
      <c r="L43" s="64"/>
      <c r="M43" s="72"/>
      <c r="N43" s="77"/>
      <c r="P43" s="72"/>
      <c r="R43" s="72"/>
      <c r="T43" s="72"/>
      <c r="U43" s="72"/>
    </row>
    <row r="44" spans="1:25" x14ac:dyDescent="0.25">
      <c r="A44" s="42">
        <v>1</v>
      </c>
      <c r="B44" s="43">
        <v>227</v>
      </c>
      <c r="C44" s="43" t="s">
        <v>23</v>
      </c>
      <c r="D44" s="155">
        <f t="shared" ref="D44" si="17">0.51*(1+$Y$5)</f>
        <v>0.52745321001088141</v>
      </c>
      <c r="E44" s="44">
        <v>2640</v>
      </c>
      <c r="F44" s="71">
        <f>+E44/$E$130</f>
        <v>2.5334676838923275E-2</v>
      </c>
      <c r="H44" s="72">
        <f>+D44*E44*12</f>
        <v>16709.717693144725</v>
      </c>
      <c r="J44" s="73"/>
      <c r="K44" s="74">
        <v>8500</v>
      </c>
      <c r="L44" s="64"/>
      <c r="M44" s="72">
        <f>+H44+J44+K44</f>
        <v>25209.717693144725</v>
      </c>
      <c r="N44" s="75">
        <f>+M44/4</f>
        <v>6302.4294232861812</v>
      </c>
      <c r="P44" s="72">
        <f>+T44+U44</f>
        <v>0</v>
      </c>
      <c r="R44" s="72">
        <f>+M44+P44</f>
        <v>25209.717693144725</v>
      </c>
      <c r="T44" s="72">
        <f>+$F44*$T$134</f>
        <v>0</v>
      </c>
      <c r="U44" s="72"/>
      <c r="W44" s="137">
        <v>0.51</v>
      </c>
      <c r="X44" s="25">
        <f t="shared" ref="X44:X45" si="18">+(D44-W44)/W44</f>
        <v>3.4221980413492947E-2</v>
      </c>
      <c r="Y44" s="25">
        <f>+W44*(1+$Y$5)</f>
        <v>0.52745321001088141</v>
      </c>
    </row>
    <row r="45" spans="1:25" x14ac:dyDescent="0.25">
      <c r="A45" s="42">
        <v>2</v>
      </c>
      <c r="B45" s="43">
        <v>310</v>
      </c>
      <c r="C45" s="43" t="s">
        <v>84</v>
      </c>
      <c r="D45" s="155">
        <f>300*1.75566591</f>
        <v>526.69977300000005</v>
      </c>
      <c r="E45" s="44">
        <v>462</v>
      </c>
      <c r="F45" s="71">
        <f>+E45/$E$130</f>
        <v>4.4335684468115736E-3</v>
      </c>
      <c r="H45" s="72">
        <f>+D45*12</f>
        <v>6320.3972760000006</v>
      </c>
      <c r="J45" s="73">
        <f>+E45*$Y$61*12</f>
        <v>382.45033112582786</v>
      </c>
      <c r="K45" s="74">
        <f>250*1.1604</f>
        <v>290.10000000000002</v>
      </c>
      <c r="L45" s="64"/>
      <c r="M45" s="72">
        <f>+H45+J45+K45</f>
        <v>6992.9476071258287</v>
      </c>
      <c r="N45" s="75">
        <f>+M45/4</f>
        <v>1748.2369017814572</v>
      </c>
      <c r="P45" s="72">
        <f>+T45+U45</f>
        <v>0</v>
      </c>
      <c r="R45" s="72">
        <f>+M45+P45</f>
        <v>6992.9476071258287</v>
      </c>
      <c r="T45" s="72">
        <f>+$F45*$T$134</f>
        <v>0</v>
      </c>
      <c r="U45" s="72"/>
      <c r="W45" s="137">
        <v>509.31</v>
      </c>
      <c r="X45" s="25">
        <f t="shared" si="18"/>
        <v>3.4143788655239538E-2</v>
      </c>
      <c r="Y45" s="25">
        <f>+W45*(1+$Y$5)</f>
        <v>526.73959684439603</v>
      </c>
    </row>
    <row r="46" spans="1:25" x14ac:dyDescent="0.25">
      <c r="A46" s="42">
        <v>3</v>
      </c>
      <c r="B46" s="43">
        <v>312</v>
      </c>
      <c r="C46" s="43" t="s">
        <v>27</v>
      </c>
      <c r="D46" s="155">
        <f t="shared" ref="D46" si="19">0.51*(1+$Y$5)</f>
        <v>0.52745321001088141</v>
      </c>
      <c r="E46" s="44">
        <v>800</v>
      </c>
      <c r="F46" s="71">
        <f>+E46/$E$130</f>
        <v>7.6771747996737198E-3</v>
      </c>
      <c r="H46" s="72">
        <f>+D46*E46*12</f>
        <v>5063.5508161044618</v>
      </c>
      <c r="J46" s="73"/>
      <c r="K46" s="74"/>
      <c r="L46" s="64"/>
      <c r="M46" s="72">
        <f>+H46+J46+K46</f>
        <v>5063.5508161044618</v>
      </c>
      <c r="N46" s="75">
        <f>+M46/4</f>
        <v>1265.8877040261154</v>
      </c>
      <c r="P46" s="72">
        <f>+T46+U46</f>
        <v>0</v>
      </c>
      <c r="R46" s="72">
        <f>+M46+P46</f>
        <v>5063.5508161044618</v>
      </c>
      <c r="T46" s="72">
        <f>+$F46*$T$134</f>
        <v>0</v>
      </c>
      <c r="U46" s="72"/>
      <c r="W46" s="137"/>
    </row>
    <row r="47" spans="1:25" x14ac:dyDescent="0.25">
      <c r="A47" s="42"/>
      <c r="B47" s="43"/>
      <c r="C47" s="43"/>
      <c r="D47" s="155"/>
      <c r="E47" s="44"/>
      <c r="F47" s="71"/>
      <c r="H47" s="72"/>
      <c r="J47" s="73"/>
      <c r="K47" s="76"/>
      <c r="L47" s="64"/>
      <c r="M47" s="72"/>
      <c r="N47" s="77"/>
      <c r="P47" s="72"/>
      <c r="R47" s="72"/>
      <c r="T47" s="72"/>
      <c r="U47" s="72"/>
    </row>
    <row r="48" spans="1:25" s="52" customFormat="1" ht="13.5" thickBot="1" x14ac:dyDescent="0.25">
      <c r="A48" s="78" t="s">
        <v>128</v>
      </c>
      <c r="B48" s="79"/>
      <c r="C48" s="79"/>
      <c r="D48" s="161"/>
      <c r="E48" s="80">
        <f>SUM(E44:E47)</f>
        <v>3902</v>
      </c>
      <c r="F48" s="81">
        <f>+E48/$E$130</f>
        <v>3.7445420085408569E-2</v>
      </c>
      <c r="H48" s="82">
        <f>SUM(H44:H47)</f>
        <v>28093.665785249184</v>
      </c>
      <c r="I48" s="83"/>
      <c r="J48" s="84">
        <f>SUM(J44:J47)</f>
        <v>382.45033112582786</v>
      </c>
      <c r="K48" s="85">
        <f>SUM(K44:K47)</f>
        <v>8790.1</v>
      </c>
      <c r="L48" s="86"/>
      <c r="M48" s="82">
        <f>SUM(M44:M47)</f>
        <v>37266.216116375013</v>
      </c>
      <c r="N48" s="87">
        <f>SUM(N44:N47)</f>
        <v>9316.5540290937533</v>
      </c>
      <c r="P48" s="82">
        <f>SUM(P44:P47)</f>
        <v>0</v>
      </c>
      <c r="R48" s="82">
        <f>SUM(R44:R47)</f>
        <v>37266.216116375013</v>
      </c>
      <c r="T48" s="82">
        <f>SUM(T44:T47)</f>
        <v>0</v>
      </c>
      <c r="U48" s="82">
        <f>SUM(U44:U47)</f>
        <v>0</v>
      </c>
    </row>
    <row r="49" spans="1:25" ht="15.75" thickTop="1" x14ac:dyDescent="0.25">
      <c r="A49" s="42"/>
      <c r="B49" s="43"/>
      <c r="C49" s="43"/>
      <c r="D49" s="155"/>
      <c r="E49" s="44"/>
      <c r="F49" s="71"/>
      <c r="H49" s="72"/>
      <c r="J49" s="73"/>
      <c r="K49" s="76"/>
      <c r="L49" s="64"/>
      <c r="M49" s="72"/>
      <c r="N49" s="77"/>
      <c r="P49" s="72"/>
      <c r="R49" s="72"/>
      <c r="T49" s="72"/>
      <c r="U49" s="72"/>
    </row>
    <row r="50" spans="1:25" s="52" customFormat="1" ht="13.5" thickBot="1" x14ac:dyDescent="0.25">
      <c r="A50" s="89" t="s">
        <v>146</v>
      </c>
      <c r="B50" s="79"/>
      <c r="C50" s="79"/>
      <c r="D50" s="161"/>
      <c r="E50" s="80"/>
      <c r="F50" s="81"/>
      <c r="H50" s="82">
        <f>+H21+H42+H48</f>
        <v>471785.94087338855</v>
      </c>
      <c r="I50" s="83"/>
      <c r="J50" s="84">
        <f>+J21+J42+J48</f>
        <v>382.45033112582786</v>
      </c>
      <c r="K50" s="90">
        <f>+K21+K42+K48</f>
        <v>9370.3000000000011</v>
      </c>
      <c r="L50" s="86"/>
      <c r="M50" s="82">
        <f>+M21+M42+M48</f>
        <v>481538.6912045143</v>
      </c>
      <c r="N50" s="91">
        <f>+N21+N42+N48</f>
        <v>120384.67280112857</v>
      </c>
      <c r="P50" s="82">
        <f>+P21+P42+P48</f>
        <v>0</v>
      </c>
      <c r="R50" s="82">
        <f>+R21+R42+R48</f>
        <v>481538.6912045143</v>
      </c>
      <c r="T50" s="82">
        <f>+T21+T42+T48</f>
        <v>0</v>
      </c>
      <c r="U50" s="82">
        <f>+U21+U42+U48</f>
        <v>0</v>
      </c>
    </row>
    <row r="51" spans="1:25" ht="15.75" thickTop="1" x14ac:dyDescent="0.25">
      <c r="A51" s="42"/>
      <c r="B51" s="43"/>
      <c r="C51" s="43"/>
      <c r="D51" s="155"/>
      <c r="E51" s="44"/>
      <c r="F51" s="71"/>
      <c r="H51" s="72"/>
      <c r="J51" s="73"/>
      <c r="K51" s="76"/>
      <c r="L51" s="64"/>
      <c r="M51" s="72"/>
      <c r="N51" s="77"/>
      <c r="P51" s="72"/>
      <c r="R51" s="72"/>
      <c r="T51" s="72"/>
      <c r="U51" s="72"/>
    </row>
    <row r="52" spans="1:25" x14ac:dyDescent="0.25">
      <c r="A52" s="49" t="s">
        <v>147</v>
      </c>
      <c r="B52" s="43"/>
      <c r="C52" s="43"/>
      <c r="D52" s="155"/>
      <c r="E52" s="44"/>
      <c r="F52" s="71"/>
      <c r="H52" s="72"/>
      <c r="J52" s="73"/>
      <c r="K52" s="76"/>
      <c r="L52" s="64"/>
      <c r="M52" s="72"/>
      <c r="N52" s="77"/>
      <c r="P52" s="72"/>
      <c r="R52" s="72"/>
      <c r="T52" s="72"/>
      <c r="U52" s="72"/>
    </row>
    <row r="53" spans="1:25" x14ac:dyDescent="0.25">
      <c r="A53" s="92">
        <v>1</v>
      </c>
      <c r="B53" s="43">
        <v>101</v>
      </c>
      <c r="C53" s="43" t="s">
        <v>148</v>
      </c>
      <c r="D53" s="155">
        <f t="shared" ref="D53:D66" si="20">0.59*(1+$Y$5)</f>
        <v>0.61019096844396081</v>
      </c>
      <c r="E53" s="44">
        <v>492</v>
      </c>
      <c r="F53" s="71">
        <f t="shared" ref="F53:F66" si="21">E53/$E$130</f>
        <v>4.7214625017993382E-3</v>
      </c>
      <c r="H53" s="72">
        <f>+D53*E53*12</f>
        <v>3602.5674776931446</v>
      </c>
      <c r="J53" s="73">
        <f>+E53*$Y$61*12</f>
        <v>407.28476821192055</v>
      </c>
      <c r="K53" s="74">
        <f t="shared" ref="K53:K65" si="22">250*1.1604</f>
        <v>290.10000000000002</v>
      </c>
      <c r="L53" s="64"/>
      <c r="M53" s="72">
        <f t="shared" ref="M53:M66" si="23">+H53+J53+K53</f>
        <v>4299.952245905065</v>
      </c>
      <c r="N53" s="75">
        <f t="shared" ref="N53:N66" si="24">+M53/4</f>
        <v>1074.9880614762662</v>
      </c>
      <c r="P53" s="72">
        <f t="shared" ref="P53:P66" si="25">+T53+U53</f>
        <v>0</v>
      </c>
      <c r="R53" s="72">
        <f t="shared" ref="R53:R66" si="26">+M53+P53</f>
        <v>4299.952245905065</v>
      </c>
      <c r="T53" s="72">
        <f t="shared" ref="T53:T66" si="27">+$F53*$T$134</f>
        <v>0</v>
      </c>
      <c r="U53" s="72">
        <f>(+$E53/$E$128)*$U$134</f>
        <v>0</v>
      </c>
      <c r="V53" s="93"/>
      <c r="W53" s="25">
        <v>0.66</v>
      </c>
      <c r="Y53" s="93"/>
    </row>
    <row r="54" spans="1:25" x14ac:dyDescent="0.25">
      <c r="A54" s="92">
        <v>2</v>
      </c>
      <c r="B54" s="43">
        <v>102</v>
      </c>
      <c r="C54" s="43" t="s">
        <v>149</v>
      </c>
      <c r="D54" s="155">
        <f t="shared" si="20"/>
        <v>0.61019096844396081</v>
      </c>
      <c r="E54" s="44">
        <v>492</v>
      </c>
      <c r="F54" s="71">
        <f t="shared" si="21"/>
        <v>4.7214625017993382E-3</v>
      </c>
      <c r="H54" s="72">
        <f t="shared" ref="H54:H117" si="28">+D54*E54*12</f>
        <v>3602.5674776931446</v>
      </c>
      <c r="J54" s="73">
        <f t="shared" ref="J54:J66" si="29">+E54*$Y$61*12</f>
        <v>407.28476821192055</v>
      </c>
      <c r="K54" s="74">
        <f t="shared" si="22"/>
        <v>290.10000000000002</v>
      </c>
      <c r="L54" s="64"/>
      <c r="M54" s="72">
        <f t="shared" si="23"/>
        <v>4299.952245905065</v>
      </c>
      <c r="N54" s="75">
        <f t="shared" si="24"/>
        <v>1074.9880614762662</v>
      </c>
      <c r="P54" s="72">
        <f t="shared" si="25"/>
        <v>0</v>
      </c>
      <c r="R54" s="72">
        <f t="shared" si="26"/>
        <v>4299.952245905065</v>
      </c>
      <c r="T54" s="72">
        <f t="shared" si="27"/>
        <v>0</v>
      </c>
      <c r="U54" s="72">
        <f t="shared" ref="U54:U117" si="30">(+$E54/$E$128)*$U$134</f>
        <v>0</v>
      </c>
    </row>
    <row r="55" spans="1:25" x14ac:dyDescent="0.25">
      <c r="A55" s="92">
        <v>3</v>
      </c>
      <c r="B55" s="43">
        <v>103</v>
      </c>
      <c r="C55" s="43" t="s">
        <v>150</v>
      </c>
      <c r="D55" s="155">
        <f t="shared" si="20"/>
        <v>0.61019096844396081</v>
      </c>
      <c r="E55" s="44">
        <v>548</v>
      </c>
      <c r="F55" s="71">
        <f t="shared" si="21"/>
        <v>5.2588647377764981E-3</v>
      </c>
      <c r="H55" s="72">
        <f t="shared" si="28"/>
        <v>4012.615808487486</v>
      </c>
      <c r="J55" s="73">
        <f t="shared" si="29"/>
        <v>453.64238410596033</v>
      </c>
      <c r="K55" s="74">
        <f t="shared" si="22"/>
        <v>290.10000000000002</v>
      </c>
      <c r="L55" s="64"/>
      <c r="M55" s="72">
        <f t="shared" si="23"/>
        <v>4756.3581925934468</v>
      </c>
      <c r="N55" s="75">
        <f t="shared" si="24"/>
        <v>1189.0895481483617</v>
      </c>
      <c r="P55" s="72">
        <f t="shared" si="25"/>
        <v>0</v>
      </c>
      <c r="R55" s="72">
        <f t="shared" si="26"/>
        <v>4756.3581925934468</v>
      </c>
      <c r="T55" s="72">
        <f t="shared" si="27"/>
        <v>0</v>
      </c>
      <c r="U55" s="72">
        <f t="shared" si="30"/>
        <v>0</v>
      </c>
    </row>
    <row r="56" spans="1:25" x14ac:dyDescent="0.25">
      <c r="A56" s="92">
        <v>4</v>
      </c>
      <c r="B56" s="43">
        <v>104</v>
      </c>
      <c r="C56" s="43" t="s">
        <v>149</v>
      </c>
      <c r="D56" s="155">
        <f t="shared" si="20"/>
        <v>0.61019096844396081</v>
      </c>
      <c r="E56" s="44">
        <v>548</v>
      </c>
      <c r="F56" s="71">
        <f t="shared" si="21"/>
        <v>5.2588647377764981E-3</v>
      </c>
      <c r="H56" s="72">
        <f t="shared" si="28"/>
        <v>4012.615808487486</v>
      </c>
      <c r="J56" s="73">
        <f t="shared" si="29"/>
        <v>453.64238410596033</v>
      </c>
      <c r="K56" s="74">
        <f t="shared" si="22"/>
        <v>290.10000000000002</v>
      </c>
      <c r="L56" s="64"/>
      <c r="M56" s="72">
        <f t="shared" si="23"/>
        <v>4756.3581925934468</v>
      </c>
      <c r="N56" s="75">
        <f t="shared" si="24"/>
        <v>1189.0895481483617</v>
      </c>
      <c r="P56" s="72">
        <f t="shared" si="25"/>
        <v>0</v>
      </c>
      <c r="R56" s="72">
        <f t="shared" si="26"/>
        <v>4756.3581925934468</v>
      </c>
      <c r="T56" s="72">
        <f t="shared" si="27"/>
        <v>0</v>
      </c>
      <c r="U56" s="72">
        <f t="shared" si="30"/>
        <v>0</v>
      </c>
      <c r="W56" s="25" t="s">
        <v>202</v>
      </c>
      <c r="Y56" s="25">
        <f>+Budget!AF73</f>
        <v>75000</v>
      </c>
    </row>
    <row r="57" spans="1:25" x14ac:dyDescent="0.25">
      <c r="A57" s="92">
        <v>5</v>
      </c>
      <c r="B57" s="43">
        <v>105</v>
      </c>
      <c r="C57" s="43" t="s">
        <v>151</v>
      </c>
      <c r="D57" s="155">
        <f t="shared" si="20"/>
        <v>0.61019096844396081</v>
      </c>
      <c r="E57" s="44">
        <v>733</v>
      </c>
      <c r="F57" s="71">
        <f t="shared" si="21"/>
        <v>7.0342114102010462E-3</v>
      </c>
      <c r="H57" s="72">
        <f t="shared" si="28"/>
        <v>5367.2397584330793</v>
      </c>
      <c r="J57" s="73">
        <f t="shared" si="29"/>
        <v>606.78807947019868</v>
      </c>
      <c r="K57" s="74">
        <f t="shared" si="22"/>
        <v>290.10000000000002</v>
      </c>
      <c r="L57" s="64"/>
      <c r="M57" s="72">
        <f t="shared" si="23"/>
        <v>6264.1278379032783</v>
      </c>
      <c r="N57" s="75">
        <f t="shared" si="24"/>
        <v>1566.0319594758196</v>
      </c>
      <c r="P57" s="72">
        <f t="shared" si="25"/>
        <v>0</v>
      </c>
      <c r="R57" s="72">
        <f t="shared" si="26"/>
        <v>6264.1278379032783</v>
      </c>
      <c r="T57" s="72">
        <f t="shared" si="27"/>
        <v>0</v>
      </c>
      <c r="U57" s="72">
        <f t="shared" si="30"/>
        <v>0</v>
      </c>
      <c r="X57" s="25">
        <v>90600</v>
      </c>
      <c r="Y57" s="140"/>
    </row>
    <row r="58" spans="1:25" x14ac:dyDescent="0.25">
      <c r="A58" s="92">
        <v>6</v>
      </c>
      <c r="B58" s="43">
        <v>106</v>
      </c>
      <c r="C58" s="43" t="s">
        <v>152</v>
      </c>
      <c r="D58" s="155">
        <f t="shared" si="20"/>
        <v>0.61019096844396081</v>
      </c>
      <c r="E58" s="44">
        <v>733</v>
      </c>
      <c r="F58" s="71">
        <f t="shared" si="21"/>
        <v>7.0342114102010462E-3</v>
      </c>
      <c r="H58" s="72">
        <f t="shared" si="28"/>
        <v>5367.2397584330793</v>
      </c>
      <c r="J58" s="73">
        <f t="shared" si="29"/>
        <v>606.78807947019868</v>
      </c>
      <c r="K58" s="74">
        <f t="shared" si="22"/>
        <v>290.10000000000002</v>
      </c>
      <c r="L58" s="64"/>
      <c r="M58" s="72">
        <f t="shared" si="23"/>
        <v>6264.1278379032783</v>
      </c>
      <c r="N58" s="75">
        <f t="shared" si="24"/>
        <v>1566.0319594758196</v>
      </c>
      <c r="P58" s="72">
        <f t="shared" si="25"/>
        <v>0</v>
      </c>
      <c r="R58" s="72">
        <f t="shared" si="26"/>
        <v>6264.1278379032783</v>
      </c>
      <c r="T58" s="72">
        <f t="shared" si="27"/>
        <v>0</v>
      </c>
      <c r="U58" s="72">
        <f t="shared" si="30"/>
        <v>0</v>
      </c>
      <c r="X58" s="25">
        <v>38026</v>
      </c>
      <c r="Y58" s="141">
        <f>+X58/X57</f>
        <v>0.41971302428256069</v>
      </c>
    </row>
    <row r="59" spans="1:25" x14ac:dyDescent="0.25">
      <c r="A59" s="92">
        <v>7</v>
      </c>
      <c r="B59" s="43">
        <v>107</v>
      </c>
      <c r="C59" s="43" t="s">
        <v>153</v>
      </c>
      <c r="D59" s="155">
        <f t="shared" si="20"/>
        <v>0.61019096844396081</v>
      </c>
      <c r="E59" s="44">
        <v>760</v>
      </c>
      <c r="F59" s="71">
        <f t="shared" si="21"/>
        <v>7.2933160596900344E-3</v>
      </c>
      <c r="H59" s="72">
        <f t="shared" si="28"/>
        <v>5564.9416322089228</v>
      </c>
      <c r="J59" s="73">
        <f t="shared" si="29"/>
        <v>629.1390728476822</v>
      </c>
      <c r="K59" s="74">
        <f t="shared" si="22"/>
        <v>290.10000000000002</v>
      </c>
      <c r="L59" s="64"/>
      <c r="M59" s="72">
        <f t="shared" si="23"/>
        <v>6484.1807050566058</v>
      </c>
      <c r="N59" s="75">
        <f t="shared" si="24"/>
        <v>1621.0451762641515</v>
      </c>
      <c r="P59" s="72">
        <f t="shared" si="25"/>
        <v>0</v>
      </c>
      <c r="R59" s="72">
        <f t="shared" si="26"/>
        <v>6484.1807050566058</v>
      </c>
      <c r="T59" s="72">
        <f t="shared" si="27"/>
        <v>0</v>
      </c>
      <c r="U59" s="72">
        <f t="shared" si="30"/>
        <v>0</v>
      </c>
      <c r="Y59" s="25">
        <f>+Y56*Y58</f>
        <v>31478.476821192053</v>
      </c>
    </row>
    <row r="60" spans="1:25" x14ac:dyDescent="0.25">
      <c r="A60" s="92">
        <v>8</v>
      </c>
      <c r="B60" s="43">
        <v>108</v>
      </c>
      <c r="C60" s="43" t="s">
        <v>154</v>
      </c>
      <c r="D60" s="155">
        <f t="shared" si="20"/>
        <v>0.61019096844396081</v>
      </c>
      <c r="E60" s="44">
        <v>755</v>
      </c>
      <c r="F60" s="71">
        <f t="shared" si="21"/>
        <v>7.2453337171920736E-3</v>
      </c>
      <c r="H60" s="72">
        <f t="shared" si="28"/>
        <v>5528.3301741022851</v>
      </c>
      <c r="J60" s="73">
        <f t="shared" si="29"/>
        <v>625</v>
      </c>
      <c r="K60" s="74">
        <f t="shared" si="22"/>
        <v>290.10000000000002</v>
      </c>
      <c r="L60" s="64"/>
      <c r="M60" s="72">
        <f t="shared" si="23"/>
        <v>6443.4301741022855</v>
      </c>
      <c r="N60" s="75">
        <f t="shared" si="24"/>
        <v>1610.8575435255714</v>
      </c>
      <c r="P60" s="72">
        <f t="shared" si="25"/>
        <v>0</v>
      </c>
      <c r="R60" s="72">
        <f t="shared" si="26"/>
        <v>6443.4301741022855</v>
      </c>
      <c r="T60" s="72">
        <f t="shared" si="27"/>
        <v>0</v>
      </c>
      <c r="U60" s="72">
        <f t="shared" si="30"/>
        <v>0</v>
      </c>
      <c r="Y60" s="25">
        <f>+Y59/X58</f>
        <v>0.82781456953642385</v>
      </c>
    </row>
    <row r="61" spans="1:25" x14ac:dyDescent="0.25">
      <c r="A61" s="92">
        <v>9</v>
      </c>
      <c r="B61" s="43">
        <v>109</v>
      </c>
      <c r="C61" s="43" t="s">
        <v>126</v>
      </c>
      <c r="D61" s="155">
        <f t="shared" si="20"/>
        <v>0.61019096844396081</v>
      </c>
      <c r="E61" s="44">
        <v>548</v>
      </c>
      <c r="F61" s="71">
        <f t="shared" si="21"/>
        <v>5.2588647377764981E-3</v>
      </c>
      <c r="H61" s="72">
        <f t="shared" si="28"/>
        <v>4012.615808487486</v>
      </c>
      <c r="J61" s="73">
        <f t="shared" si="29"/>
        <v>453.64238410596033</v>
      </c>
      <c r="K61" s="74">
        <f t="shared" si="22"/>
        <v>290.10000000000002</v>
      </c>
      <c r="L61" s="64"/>
      <c r="M61" s="72">
        <f t="shared" si="23"/>
        <v>4756.3581925934468</v>
      </c>
      <c r="N61" s="75">
        <f t="shared" si="24"/>
        <v>1189.0895481483617</v>
      </c>
      <c r="P61" s="72">
        <f t="shared" si="25"/>
        <v>0</v>
      </c>
      <c r="R61" s="72">
        <f t="shared" si="26"/>
        <v>4756.3581925934468</v>
      </c>
      <c r="T61" s="72">
        <f t="shared" si="27"/>
        <v>0</v>
      </c>
      <c r="U61" s="72">
        <f t="shared" si="30"/>
        <v>0</v>
      </c>
      <c r="Y61" s="142">
        <f>+Y60/12</f>
        <v>6.8984547461368659E-2</v>
      </c>
    </row>
    <row r="62" spans="1:25" x14ac:dyDescent="0.25">
      <c r="A62" s="92">
        <v>10</v>
      </c>
      <c r="B62" s="43">
        <v>110</v>
      </c>
      <c r="C62" s="43" t="s">
        <v>155</v>
      </c>
      <c r="D62" s="155">
        <f t="shared" si="20"/>
        <v>0.61019096844396081</v>
      </c>
      <c r="E62" s="44">
        <v>548</v>
      </c>
      <c r="F62" s="71">
        <f t="shared" si="21"/>
        <v>5.2588647377764981E-3</v>
      </c>
      <c r="H62" s="72">
        <f t="shared" si="28"/>
        <v>4012.615808487486</v>
      </c>
      <c r="J62" s="73">
        <f t="shared" si="29"/>
        <v>453.64238410596033</v>
      </c>
      <c r="K62" s="74">
        <f t="shared" si="22"/>
        <v>290.10000000000002</v>
      </c>
      <c r="L62" s="64"/>
      <c r="M62" s="72">
        <f t="shared" si="23"/>
        <v>4756.3581925934468</v>
      </c>
      <c r="N62" s="75">
        <f t="shared" si="24"/>
        <v>1189.0895481483617</v>
      </c>
      <c r="P62" s="72">
        <f t="shared" si="25"/>
        <v>0</v>
      </c>
      <c r="R62" s="72">
        <f t="shared" si="26"/>
        <v>4756.3581925934468</v>
      </c>
      <c r="T62" s="72">
        <f t="shared" si="27"/>
        <v>0</v>
      </c>
      <c r="U62" s="72">
        <f t="shared" si="30"/>
        <v>0</v>
      </c>
    </row>
    <row r="63" spans="1:25" x14ac:dyDescent="0.25">
      <c r="A63" s="92">
        <v>11</v>
      </c>
      <c r="B63" s="43">
        <v>111</v>
      </c>
      <c r="C63" s="43" t="s">
        <v>156</v>
      </c>
      <c r="D63" s="155">
        <f t="shared" si="20"/>
        <v>0.61019096844396081</v>
      </c>
      <c r="E63" s="44">
        <v>520</v>
      </c>
      <c r="F63" s="71">
        <f t="shared" si="21"/>
        <v>4.9901636197879178E-3</v>
      </c>
      <c r="H63" s="72">
        <f t="shared" si="28"/>
        <v>3807.5916430903153</v>
      </c>
      <c r="J63" s="73">
        <f t="shared" si="29"/>
        <v>430.46357615894044</v>
      </c>
      <c r="K63" s="74">
        <f t="shared" si="22"/>
        <v>290.10000000000002</v>
      </c>
      <c r="L63" s="64"/>
      <c r="M63" s="72">
        <f t="shared" si="23"/>
        <v>4528.1552192492563</v>
      </c>
      <c r="N63" s="75">
        <f t="shared" si="24"/>
        <v>1132.0388048123141</v>
      </c>
      <c r="P63" s="72">
        <f t="shared" si="25"/>
        <v>0</v>
      </c>
      <c r="R63" s="72">
        <f t="shared" si="26"/>
        <v>4528.1552192492563</v>
      </c>
      <c r="T63" s="72">
        <f t="shared" si="27"/>
        <v>0</v>
      </c>
      <c r="U63" s="72">
        <f t="shared" si="30"/>
        <v>0</v>
      </c>
    </row>
    <row r="64" spans="1:25" x14ac:dyDescent="0.25">
      <c r="A64" s="92">
        <v>12</v>
      </c>
      <c r="B64" s="43">
        <v>112</v>
      </c>
      <c r="C64" s="43" t="s">
        <v>157</v>
      </c>
      <c r="D64" s="155">
        <f t="shared" si="20"/>
        <v>0.61019096844396081</v>
      </c>
      <c r="E64" s="44">
        <v>520</v>
      </c>
      <c r="F64" s="71">
        <f t="shared" si="21"/>
        <v>4.9901636197879178E-3</v>
      </c>
      <c r="H64" s="72">
        <f t="shared" si="28"/>
        <v>3807.5916430903153</v>
      </c>
      <c r="J64" s="73">
        <f t="shared" si="29"/>
        <v>430.46357615894044</v>
      </c>
      <c r="K64" s="74">
        <f t="shared" si="22"/>
        <v>290.10000000000002</v>
      </c>
      <c r="L64" s="64"/>
      <c r="M64" s="72">
        <f t="shared" si="23"/>
        <v>4528.1552192492563</v>
      </c>
      <c r="N64" s="75">
        <f t="shared" si="24"/>
        <v>1132.0388048123141</v>
      </c>
      <c r="P64" s="72">
        <f t="shared" si="25"/>
        <v>0</v>
      </c>
      <c r="R64" s="72">
        <f t="shared" si="26"/>
        <v>4528.1552192492563</v>
      </c>
      <c r="T64" s="72">
        <f t="shared" si="27"/>
        <v>0</v>
      </c>
      <c r="U64" s="72">
        <f t="shared" si="30"/>
        <v>0</v>
      </c>
    </row>
    <row r="65" spans="1:21" x14ac:dyDescent="0.25">
      <c r="A65" s="92">
        <v>13</v>
      </c>
      <c r="B65" s="43">
        <v>113</v>
      </c>
      <c r="C65" s="43" t="s">
        <v>149</v>
      </c>
      <c r="D65" s="155">
        <f t="shared" si="20"/>
        <v>0.61019096844396081</v>
      </c>
      <c r="E65" s="44">
        <v>492</v>
      </c>
      <c r="F65" s="71">
        <f t="shared" si="21"/>
        <v>4.7214625017993382E-3</v>
      </c>
      <c r="H65" s="72">
        <f t="shared" si="28"/>
        <v>3602.5674776931446</v>
      </c>
      <c r="J65" s="73">
        <f t="shared" si="29"/>
        <v>407.28476821192055</v>
      </c>
      <c r="K65" s="74">
        <f t="shared" si="22"/>
        <v>290.10000000000002</v>
      </c>
      <c r="L65" s="64"/>
      <c r="M65" s="72">
        <f t="shared" si="23"/>
        <v>4299.952245905065</v>
      </c>
      <c r="N65" s="75">
        <f t="shared" si="24"/>
        <v>1074.9880614762662</v>
      </c>
      <c r="P65" s="72">
        <f t="shared" si="25"/>
        <v>0</v>
      </c>
      <c r="R65" s="72">
        <f t="shared" si="26"/>
        <v>4299.952245905065</v>
      </c>
      <c r="T65" s="72">
        <f t="shared" si="27"/>
        <v>0</v>
      </c>
      <c r="U65" s="72">
        <f t="shared" si="30"/>
        <v>0</v>
      </c>
    </row>
    <row r="66" spans="1:21" x14ac:dyDescent="0.25">
      <c r="A66" s="92">
        <v>14</v>
      </c>
      <c r="B66" s="43">
        <v>114</v>
      </c>
      <c r="C66" s="43" t="s">
        <v>149</v>
      </c>
      <c r="D66" s="155">
        <f t="shared" si="20"/>
        <v>0.61019096844396081</v>
      </c>
      <c r="E66" s="44">
        <v>492</v>
      </c>
      <c r="F66" s="71">
        <f t="shared" si="21"/>
        <v>4.7214625017993382E-3</v>
      </c>
      <c r="H66" s="72">
        <f t="shared" si="28"/>
        <v>3602.5674776931446</v>
      </c>
      <c r="J66" s="73">
        <f t="shared" si="29"/>
        <v>407.28476821192055</v>
      </c>
      <c r="K66" s="74">
        <f>250*1.1604</f>
        <v>290.10000000000002</v>
      </c>
      <c r="L66" s="64"/>
      <c r="M66" s="72">
        <f t="shared" si="23"/>
        <v>4299.952245905065</v>
      </c>
      <c r="N66" s="75">
        <f t="shared" si="24"/>
        <v>1074.9880614762662</v>
      </c>
      <c r="P66" s="72">
        <f t="shared" si="25"/>
        <v>0</v>
      </c>
      <c r="R66" s="72">
        <f t="shared" si="26"/>
        <v>4299.952245905065</v>
      </c>
      <c r="T66" s="72">
        <f t="shared" si="27"/>
        <v>0</v>
      </c>
      <c r="U66" s="72">
        <f t="shared" si="30"/>
        <v>0</v>
      </c>
    </row>
    <row r="67" spans="1:21" x14ac:dyDescent="0.25">
      <c r="A67" s="42"/>
      <c r="B67" s="43"/>
      <c r="C67" s="43"/>
      <c r="D67" s="155"/>
      <c r="E67" s="44"/>
      <c r="F67" s="71"/>
      <c r="H67" s="72"/>
      <c r="J67" s="73"/>
      <c r="K67" s="76"/>
      <c r="L67" s="64"/>
      <c r="M67" s="72"/>
      <c r="N67" s="77"/>
      <c r="P67" s="72"/>
      <c r="R67" s="72"/>
      <c r="T67" s="72"/>
      <c r="U67" s="72"/>
    </row>
    <row r="68" spans="1:21" x14ac:dyDescent="0.25">
      <c r="A68" s="92">
        <v>15</v>
      </c>
      <c r="B68" s="43">
        <v>201</v>
      </c>
      <c r="C68" s="43" t="s">
        <v>158</v>
      </c>
      <c r="D68" s="155">
        <f t="shared" ref="D68:D79" si="31">0.59*(1+$Y$5)</f>
        <v>0.61019096844396081</v>
      </c>
      <c r="E68" s="44">
        <v>492</v>
      </c>
      <c r="F68" s="71">
        <f t="shared" ref="F68:F79" si="32">E68/$E$130</f>
        <v>4.7214625017993382E-3</v>
      </c>
      <c r="H68" s="72">
        <f t="shared" si="28"/>
        <v>3602.5674776931446</v>
      </c>
      <c r="J68" s="73">
        <f t="shared" ref="J68:J79" si="33">+E68*$Y$61*12</f>
        <v>407.28476821192055</v>
      </c>
      <c r="K68" s="74">
        <f t="shared" ref="K68:K79" si="34">250*1.1604</f>
        <v>290.10000000000002</v>
      </c>
      <c r="L68" s="64"/>
      <c r="M68" s="72">
        <f t="shared" ref="M68:M79" si="35">+H68+J68+K68</f>
        <v>4299.952245905065</v>
      </c>
      <c r="N68" s="75">
        <f t="shared" ref="N68:N79" si="36">+M68/4</f>
        <v>1074.9880614762662</v>
      </c>
      <c r="P68" s="72">
        <f t="shared" ref="P68:P79" si="37">+T68+U68</f>
        <v>0</v>
      </c>
      <c r="R68" s="72">
        <f t="shared" ref="R68:R79" si="38">+M68+P68</f>
        <v>4299.952245905065</v>
      </c>
      <c r="T68" s="72">
        <f t="shared" ref="T68:T79" si="39">+$F68*$T$134</f>
        <v>0</v>
      </c>
      <c r="U68" s="72">
        <f t="shared" si="30"/>
        <v>0</v>
      </c>
    </row>
    <row r="69" spans="1:21" x14ac:dyDescent="0.25">
      <c r="A69" s="92">
        <v>16</v>
      </c>
      <c r="B69" s="43">
        <v>202</v>
      </c>
      <c r="C69" s="43" t="s">
        <v>159</v>
      </c>
      <c r="D69" s="155">
        <f t="shared" si="31"/>
        <v>0.61019096844396081</v>
      </c>
      <c r="E69" s="44">
        <v>492</v>
      </c>
      <c r="F69" s="71">
        <f t="shared" si="32"/>
        <v>4.7214625017993382E-3</v>
      </c>
      <c r="H69" s="72">
        <f t="shared" si="28"/>
        <v>3602.5674776931446</v>
      </c>
      <c r="J69" s="73">
        <f t="shared" si="33"/>
        <v>407.28476821192055</v>
      </c>
      <c r="K69" s="74">
        <f t="shared" si="34"/>
        <v>290.10000000000002</v>
      </c>
      <c r="L69" s="64"/>
      <c r="M69" s="72">
        <f t="shared" si="35"/>
        <v>4299.952245905065</v>
      </c>
      <c r="N69" s="75">
        <f t="shared" si="36"/>
        <v>1074.9880614762662</v>
      </c>
      <c r="P69" s="72">
        <f t="shared" si="37"/>
        <v>0</v>
      </c>
      <c r="R69" s="72">
        <f t="shared" si="38"/>
        <v>4299.952245905065</v>
      </c>
      <c r="T69" s="72">
        <f t="shared" si="39"/>
        <v>0</v>
      </c>
      <c r="U69" s="72">
        <f t="shared" si="30"/>
        <v>0</v>
      </c>
    </row>
    <row r="70" spans="1:21" x14ac:dyDescent="0.25">
      <c r="A70" s="92">
        <v>17</v>
      </c>
      <c r="B70" s="43">
        <v>203</v>
      </c>
      <c r="C70" s="43" t="s">
        <v>160</v>
      </c>
      <c r="D70" s="155">
        <f t="shared" si="31"/>
        <v>0.61019096844396081</v>
      </c>
      <c r="E70" s="44">
        <v>548</v>
      </c>
      <c r="F70" s="71">
        <f t="shared" si="32"/>
        <v>5.2588647377764981E-3</v>
      </c>
      <c r="H70" s="72">
        <f t="shared" si="28"/>
        <v>4012.615808487486</v>
      </c>
      <c r="J70" s="73">
        <f t="shared" si="33"/>
        <v>453.64238410596033</v>
      </c>
      <c r="K70" s="74">
        <f t="shared" si="34"/>
        <v>290.10000000000002</v>
      </c>
      <c r="L70" s="64"/>
      <c r="M70" s="72">
        <f t="shared" si="35"/>
        <v>4756.3581925934468</v>
      </c>
      <c r="N70" s="75">
        <f t="shared" si="36"/>
        <v>1189.0895481483617</v>
      </c>
      <c r="P70" s="72">
        <f t="shared" si="37"/>
        <v>0</v>
      </c>
      <c r="R70" s="72">
        <f t="shared" si="38"/>
        <v>4756.3581925934468</v>
      </c>
      <c r="T70" s="72">
        <f t="shared" si="39"/>
        <v>0</v>
      </c>
      <c r="U70" s="72">
        <f t="shared" si="30"/>
        <v>0</v>
      </c>
    </row>
    <row r="71" spans="1:21" x14ac:dyDescent="0.25">
      <c r="A71" s="92">
        <v>18</v>
      </c>
      <c r="B71" s="43">
        <v>204</v>
      </c>
      <c r="C71" s="43" t="s">
        <v>149</v>
      </c>
      <c r="D71" s="155">
        <f t="shared" si="31"/>
        <v>0.61019096844396081</v>
      </c>
      <c r="E71" s="44">
        <v>548</v>
      </c>
      <c r="F71" s="71">
        <f t="shared" si="32"/>
        <v>5.2588647377764981E-3</v>
      </c>
      <c r="H71" s="72">
        <f t="shared" si="28"/>
        <v>4012.615808487486</v>
      </c>
      <c r="J71" s="73">
        <f t="shared" si="33"/>
        <v>453.64238410596033</v>
      </c>
      <c r="K71" s="74">
        <f t="shared" si="34"/>
        <v>290.10000000000002</v>
      </c>
      <c r="L71" s="64"/>
      <c r="M71" s="72">
        <f t="shared" si="35"/>
        <v>4756.3581925934468</v>
      </c>
      <c r="N71" s="75">
        <f t="shared" si="36"/>
        <v>1189.0895481483617</v>
      </c>
      <c r="P71" s="72">
        <f t="shared" si="37"/>
        <v>0</v>
      </c>
      <c r="R71" s="72">
        <f t="shared" si="38"/>
        <v>4756.3581925934468</v>
      </c>
      <c r="T71" s="72">
        <f t="shared" si="39"/>
        <v>0</v>
      </c>
      <c r="U71" s="72">
        <f t="shared" si="30"/>
        <v>0</v>
      </c>
    </row>
    <row r="72" spans="1:21" x14ac:dyDescent="0.25">
      <c r="A72" s="92">
        <v>19</v>
      </c>
      <c r="B72" s="43">
        <v>205</v>
      </c>
      <c r="C72" s="43" t="s">
        <v>149</v>
      </c>
      <c r="D72" s="155">
        <f t="shared" si="31"/>
        <v>0.61019096844396081</v>
      </c>
      <c r="E72" s="44">
        <v>515</v>
      </c>
      <c r="F72" s="71">
        <f t="shared" si="32"/>
        <v>4.942181277289957E-3</v>
      </c>
      <c r="H72" s="72">
        <f t="shared" si="28"/>
        <v>3770.9801849836781</v>
      </c>
      <c r="J72" s="73">
        <f t="shared" si="33"/>
        <v>426.32450331125835</v>
      </c>
      <c r="K72" s="74">
        <f t="shared" si="34"/>
        <v>290.10000000000002</v>
      </c>
      <c r="L72" s="64"/>
      <c r="M72" s="72">
        <f t="shared" si="35"/>
        <v>4487.4046882949369</v>
      </c>
      <c r="N72" s="75">
        <f t="shared" si="36"/>
        <v>1121.8511720737342</v>
      </c>
      <c r="P72" s="72">
        <f t="shared" si="37"/>
        <v>0</v>
      </c>
      <c r="R72" s="72">
        <f t="shared" si="38"/>
        <v>4487.4046882949369</v>
      </c>
      <c r="T72" s="72">
        <f t="shared" si="39"/>
        <v>0</v>
      </c>
      <c r="U72" s="72">
        <f t="shared" si="30"/>
        <v>0</v>
      </c>
    </row>
    <row r="73" spans="1:21" x14ac:dyDescent="0.25">
      <c r="A73" s="92">
        <v>20</v>
      </c>
      <c r="B73" s="43">
        <v>206</v>
      </c>
      <c r="C73" s="43" t="s">
        <v>161</v>
      </c>
      <c r="D73" s="155">
        <f t="shared" si="31"/>
        <v>0.61019096844396081</v>
      </c>
      <c r="E73" s="44">
        <v>520</v>
      </c>
      <c r="F73" s="71">
        <f t="shared" si="32"/>
        <v>4.9901636197879178E-3</v>
      </c>
      <c r="H73" s="72">
        <f t="shared" si="28"/>
        <v>3807.5916430903153</v>
      </c>
      <c r="J73" s="73">
        <f t="shared" si="33"/>
        <v>430.46357615894044</v>
      </c>
      <c r="K73" s="74">
        <f t="shared" si="34"/>
        <v>290.10000000000002</v>
      </c>
      <c r="L73" s="64"/>
      <c r="M73" s="72">
        <f t="shared" si="35"/>
        <v>4528.1552192492563</v>
      </c>
      <c r="N73" s="75">
        <f t="shared" si="36"/>
        <v>1132.0388048123141</v>
      </c>
      <c r="P73" s="72">
        <f t="shared" si="37"/>
        <v>0</v>
      </c>
      <c r="R73" s="72">
        <f t="shared" si="38"/>
        <v>4528.1552192492563</v>
      </c>
      <c r="T73" s="72">
        <f t="shared" si="39"/>
        <v>0</v>
      </c>
      <c r="U73" s="72">
        <f t="shared" si="30"/>
        <v>0</v>
      </c>
    </row>
    <row r="74" spans="1:21" x14ac:dyDescent="0.25">
      <c r="A74" s="92">
        <v>21</v>
      </c>
      <c r="B74" s="43">
        <v>207</v>
      </c>
      <c r="C74" s="43" t="s">
        <v>161</v>
      </c>
      <c r="D74" s="155">
        <f t="shared" si="31"/>
        <v>0.61019096844396081</v>
      </c>
      <c r="E74" s="44">
        <v>520</v>
      </c>
      <c r="F74" s="71">
        <f t="shared" si="32"/>
        <v>4.9901636197879178E-3</v>
      </c>
      <c r="H74" s="72">
        <f t="shared" si="28"/>
        <v>3807.5916430903153</v>
      </c>
      <c r="J74" s="73">
        <f t="shared" si="33"/>
        <v>430.46357615894044</v>
      </c>
      <c r="K74" s="74">
        <f t="shared" si="34"/>
        <v>290.10000000000002</v>
      </c>
      <c r="L74" s="64"/>
      <c r="M74" s="72">
        <f t="shared" si="35"/>
        <v>4528.1552192492563</v>
      </c>
      <c r="N74" s="75">
        <f t="shared" si="36"/>
        <v>1132.0388048123141</v>
      </c>
      <c r="P74" s="72">
        <f t="shared" si="37"/>
        <v>0</v>
      </c>
      <c r="R74" s="72">
        <f t="shared" si="38"/>
        <v>4528.1552192492563</v>
      </c>
      <c r="T74" s="72">
        <f t="shared" si="39"/>
        <v>0</v>
      </c>
      <c r="U74" s="72">
        <f t="shared" si="30"/>
        <v>0</v>
      </c>
    </row>
    <row r="75" spans="1:21" x14ac:dyDescent="0.25">
      <c r="A75" s="92">
        <v>22</v>
      </c>
      <c r="B75" s="43">
        <v>208</v>
      </c>
      <c r="C75" s="43" t="s">
        <v>162</v>
      </c>
      <c r="D75" s="155">
        <f t="shared" si="31"/>
        <v>0.61019096844396081</v>
      </c>
      <c r="E75" s="44">
        <v>520</v>
      </c>
      <c r="F75" s="71">
        <f t="shared" si="32"/>
        <v>4.9901636197879178E-3</v>
      </c>
      <c r="H75" s="72">
        <f t="shared" si="28"/>
        <v>3807.5916430903153</v>
      </c>
      <c r="J75" s="73">
        <f t="shared" si="33"/>
        <v>430.46357615894044</v>
      </c>
      <c r="K75" s="74">
        <f t="shared" si="34"/>
        <v>290.10000000000002</v>
      </c>
      <c r="L75" s="64"/>
      <c r="M75" s="72">
        <f t="shared" si="35"/>
        <v>4528.1552192492563</v>
      </c>
      <c r="N75" s="75">
        <f t="shared" si="36"/>
        <v>1132.0388048123141</v>
      </c>
      <c r="P75" s="72">
        <f t="shared" si="37"/>
        <v>0</v>
      </c>
      <c r="R75" s="72">
        <f t="shared" si="38"/>
        <v>4528.1552192492563</v>
      </c>
      <c r="T75" s="72">
        <f t="shared" si="39"/>
        <v>0</v>
      </c>
      <c r="U75" s="72">
        <f t="shared" si="30"/>
        <v>0</v>
      </c>
    </row>
    <row r="76" spans="1:21" x14ac:dyDescent="0.25">
      <c r="A76" s="92">
        <v>23</v>
      </c>
      <c r="B76" s="43">
        <v>209</v>
      </c>
      <c r="C76" s="43" t="s">
        <v>149</v>
      </c>
      <c r="D76" s="155">
        <f t="shared" si="31"/>
        <v>0.61019096844396081</v>
      </c>
      <c r="E76" s="44">
        <v>492</v>
      </c>
      <c r="F76" s="71">
        <f t="shared" si="32"/>
        <v>4.7214625017993382E-3</v>
      </c>
      <c r="H76" s="72">
        <f t="shared" si="28"/>
        <v>3602.5674776931446</v>
      </c>
      <c r="J76" s="73">
        <f t="shared" si="33"/>
        <v>407.28476821192055</v>
      </c>
      <c r="K76" s="74">
        <f t="shared" si="34"/>
        <v>290.10000000000002</v>
      </c>
      <c r="L76" s="64"/>
      <c r="M76" s="72">
        <f t="shared" si="35"/>
        <v>4299.952245905065</v>
      </c>
      <c r="N76" s="75">
        <f t="shared" si="36"/>
        <v>1074.9880614762662</v>
      </c>
      <c r="P76" s="72">
        <f t="shared" si="37"/>
        <v>0</v>
      </c>
      <c r="R76" s="72">
        <f t="shared" si="38"/>
        <v>4299.952245905065</v>
      </c>
      <c r="T76" s="72">
        <f t="shared" si="39"/>
        <v>0</v>
      </c>
      <c r="U76" s="72">
        <f t="shared" si="30"/>
        <v>0</v>
      </c>
    </row>
    <row r="77" spans="1:21" x14ac:dyDescent="0.25">
      <c r="A77" s="92">
        <v>24</v>
      </c>
      <c r="B77" s="43">
        <v>210</v>
      </c>
      <c r="C77" s="43" t="s">
        <v>163</v>
      </c>
      <c r="D77" s="155">
        <f t="shared" si="31"/>
        <v>0.61019096844396081</v>
      </c>
      <c r="E77" s="44">
        <v>492</v>
      </c>
      <c r="F77" s="71">
        <f t="shared" si="32"/>
        <v>4.7214625017993382E-3</v>
      </c>
      <c r="H77" s="72">
        <f t="shared" si="28"/>
        <v>3602.5674776931446</v>
      </c>
      <c r="J77" s="73">
        <f t="shared" si="33"/>
        <v>407.28476821192055</v>
      </c>
      <c r="K77" s="74">
        <f t="shared" si="34"/>
        <v>290.10000000000002</v>
      </c>
      <c r="L77" s="64"/>
      <c r="M77" s="72">
        <f t="shared" si="35"/>
        <v>4299.952245905065</v>
      </c>
      <c r="N77" s="75">
        <f t="shared" si="36"/>
        <v>1074.9880614762662</v>
      </c>
      <c r="P77" s="72">
        <f t="shared" si="37"/>
        <v>0</v>
      </c>
      <c r="R77" s="72">
        <f t="shared" si="38"/>
        <v>4299.952245905065</v>
      </c>
      <c r="T77" s="72">
        <f t="shared" si="39"/>
        <v>0</v>
      </c>
      <c r="U77" s="72">
        <f t="shared" si="30"/>
        <v>0</v>
      </c>
    </row>
    <row r="78" spans="1:21" x14ac:dyDescent="0.25">
      <c r="A78" s="92">
        <v>25</v>
      </c>
      <c r="B78" s="43">
        <v>211</v>
      </c>
      <c r="C78" s="43" t="s">
        <v>164</v>
      </c>
      <c r="D78" s="155">
        <f t="shared" si="31"/>
        <v>0.61019096844396081</v>
      </c>
      <c r="E78" s="44">
        <v>520</v>
      </c>
      <c r="F78" s="71">
        <f t="shared" si="32"/>
        <v>4.9901636197879178E-3</v>
      </c>
      <c r="H78" s="72">
        <f t="shared" si="28"/>
        <v>3807.5916430903153</v>
      </c>
      <c r="J78" s="73">
        <f t="shared" si="33"/>
        <v>430.46357615894044</v>
      </c>
      <c r="K78" s="74">
        <f t="shared" si="34"/>
        <v>290.10000000000002</v>
      </c>
      <c r="L78" s="64"/>
      <c r="M78" s="72">
        <f t="shared" si="35"/>
        <v>4528.1552192492563</v>
      </c>
      <c r="N78" s="75">
        <f t="shared" si="36"/>
        <v>1132.0388048123141</v>
      </c>
      <c r="P78" s="72">
        <f t="shared" si="37"/>
        <v>0</v>
      </c>
      <c r="R78" s="72">
        <f t="shared" si="38"/>
        <v>4528.1552192492563</v>
      </c>
      <c r="T78" s="72">
        <f t="shared" si="39"/>
        <v>0</v>
      </c>
      <c r="U78" s="72">
        <f t="shared" si="30"/>
        <v>0</v>
      </c>
    </row>
    <row r="79" spans="1:21" x14ac:dyDescent="0.25">
      <c r="A79" s="92">
        <v>26</v>
      </c>
      <c r="B79" s="43">
        <v>212</v>
      </c>
      <c r="C79" s="43" t="s">
        <v>165</v>
      </c>
      <c r="D79" s="155">
        <f t="shared" si="31"/>
        <v>0.61019096844396081</v>
      </c>
      <c r="E79" s="44">
        <v>520</v>
      </c>
      <c r="F79" s="71">
        <f t="shared" si="32"/>
        <v>4.9901636197879178E-3</v>
      </c>
      <c r="H79" s="72">
        <f t="shared" si="28"/>
        <v>3807.5916430903153</v>
      </c>
      <c r="J79" s="73">
        <f t="shared" si="33"/>
        <v>430.46357615894044</v>
      </c>
      <c r="K79" s="74">
        <f t="shared" si="34"/>
        <v>290.10000000000002</v>
      </c>
      <c r="L79" s="64"/>
      <c r="M79" s="72">
        <f t="shared" si="35"/>
        <v>4528.1552192492563</v>
      </c>
      <c r="N79" s="75">
        <f t="shared" si="36"/>
        <v>1132.0388048123141</v>
      </c>
      <c r="P79" s="72">
        <f t="shared" si="37"/>
        <v>0</v>
      </c>
      <c r="R79" s="72">
        <f t="shared" si="38"/>
        <v>4528.1552192492563</v>
      </c>
      <c r="T79" s="72">
        <f t="shared" si="39"/>
        <v>0</v>
      </c>
      <c r="U79" s="72">
        <f t="shared" si="30"/>
        <v>0</v>
      </c>
    </row>
    <row r="80" spans="1:21" x14ac:dyDescent="0.25">
      <c r="A80" s="42"/>
      <c r="B80" s="43"/>
      <c r="C80" s="43"/>
      <c r="D80" s="155"/>
      <c r="E80" s="44"/>
      <c r="F80" s="71"/>
      <c r="H80" s="72"/>
      <c r="J80" s="73"/>
      <c r="K80" s="76"/>
      <c r="L80" s="64"/>
      <c r="M80" s="72"/>
      <c r="N80" s="77"/>
      <c r="P80" s="72"/>
      <c r="R80" s="72"/>
      <c r="T80" s="72"/>
      <c r="U80" s="72"/>
    </row>
    <row r="81" spans="1:21" x14ac:dyDescent="0.25">
      <c r="A81" s="92">
        <v>27</v>
      </c>
      <c r="B81" s="43">
        <v>301</v>
      </c>
      <c r="C81" s="43" t="s">
        <v>166</v>
      </c>
      <c r="D81" s="155">
        <f t="shared" ref="D81:D99" si="40">0.59*(1+$Y$5)</f>
        <v>0.61019096844396081</v>
      </c>
      <c r="E81" s="44">
        <v>505</v>
      </c>
      <c r="F81" s="71">
        <f t="shared" ref="F81:F99" si="41">E81/$E$130</f>
        <v>4.8462165922940354E-3</v>
      </c>
      <c r="H81" s="72">
        <f t="shared" si="28"/>
        <v>3697.7572687704023</v>
      </c>
      <c r="J81" s="73">
        <f t="shared" ref="J81:J99" si="42">+E81*$Y$61*12</f>
        <v>418.04635761589407</v>
      </c>
      <c r="K81" s="74">
        <f t="shared" ref="K81:K99" si="43">250*1.1604</f>
        <v>290.10000000000002</v>
      </c>
      <c r="L81" s="64"/>
      <c r="M81" s="72">
        <f t="shared" ref="M81:M99" si="44">+H81+J81+K81</f>
        <v>4405.9036263862963</v>
      </c>
      <c r="N81" s="75">
        <f t="shared" ref="N81:N99" si="45">+M81/4</f>
        <v>1101.4759065965741</v>
      </c>
      <c r="P81" s="72">
        <f t="shared" ref="P81:P99" si="46">+T81+U81</f>
        <v>0</v>
      </c>
      <c r="R81" s="72">
        <f t="shared" ref="R81:R99" si="47">+M81+P81</f>
        <v>4405.9036263862963</v>
      </c>
      <c r="T81" s="72">
        <f t="shared" ref="T81:T99" si="48">+$F81*$T$134</f>
        <v>0</v>
      </c>
      <c r="U81" s="72">
        <f t="shared" si="30"/>
        <v>0</v>
      </c>
    </row>
    <row r="82" spans="1:21" x14ac:dyDescent="0.25">
      <c r="A82" s="92">
        <v>28</v>
      </c>
      <c r="B82" s="43">
        <v>302</v>
      </c>
      <c r="C82" s="43" t="s">
        <v>167</v>
      </c>
      <c r="D82" s="155">
        <f t="shared" si="40"/>
        <v>0.61019096844396081</v>
      </c>
      <c r="E82" s="44">
        <v>505</v>
      </c>
      <c r="F82" s="71">
        <f t="shared" si="41"/>
        <v>4.8462165922940354E-3</v>
      </c>
      <c r="H82" s="72">
        <f t="shared" si="28"/>
        <v>3697.7572687704023</v>
      </c>
      <c r="J82" s="73">
        <f t="shared" si="42"/>
        <v>418.04635761589407</v>
      </c>
      <c r="K82" s="74">
        <f t="shared" si="43"/>
        <v>290.10000000000002</v>
      </c>
      <c r="L82" s="64"/>
      <c r="M82" s="72">
        <f t="shared" si="44"/>
        <v>4405.9036263862963</v>
      </c>
      <c r="N82" s="75">
        <f t="shared" si="45"/>
        <v>1101.4759065965741</v>
      </c>
      <c r="P82" s="72">
        <f t="shared" si="46"/>
        <v>0</v>
      </c>
      <c r="R82" s="72">
        <f t="shared" si="47"/>
        <v>4405.9036263862963</v>
      </c>
      <c r="T82" s="72">
        <f t="shared" si="48"/>
        <v>0</v>
      </c>
      <c r="U82" s="72">
        <f t="shared" si="30"/>
        <v>0</v>
      </c>
    </row>
    <row r="83" spans="1:21" x14ac:dyDescent="0.25">
      <c r="A83" s="92">
        <v>29</v>
      </c>
      <c r="B83" s="43">
        <v>303</v>
      </c>
      <c r="C83" s="43" t="s">
        <v>149</v>
      </c>
      <c r="D83" s="155">
        <f t="shared" si="40"/>
        <v>0.61019096844396081</v>
      </c>
      <c r="E83" s="44">
        <v>515</v>
      </c>
      <c r="F83" s="71">
        <f t="shared" si="41"/>
        <v>4.942181277289957E-3</v>
      </c>
      <c r="H83" s="72">
        <f t="shared" si="28"/>
        <v>3770.9801849836781</v>
      </c>
      <c r="J83" s="73">
        <f t="shared" si="42"/>
        <v>426.32450331125835</v>
      </c>
      <c r="K83" s="74">
        <f t="shared" si="43"/>
        <v>290.10000000000002</v>
      </c>
      <c r="L83" s="64"/>
      <c r="M83" s="72">
        <f t="shared" si="44"/>
        <v>4487.4046882949369</v>
      </c>
      <c r="N83" s="75">
        <f t="shared" si="45"/>
        <v>1121.8511720737342</v>
      </c>
      <c r="P83" s="72">
        <f t="shared" si="46"/>
        <v>0</v>
      </c>
      <c r="R83" s="72">
        <f t="shared" si="47"/>
        <v>4487.4046882949369</v>
      </c>
      <c r="T83" s="72">
        <f t="shared" si="48"/>
        <v>0</v>
      </c>
      <c r="U83" s="72">
        <f t="shared" si="30"/>
        <v>0</v>
      </c>
    </row>
    <row r="84" spans="1:21" x14ac:dyDescent="0.25">
      <c r="A84" s="92">
        <v>30</v>
      </c>
      <c r="B84" s="43">
        <v>304</v>
      </c>
      <c r="C84" s="43" t="s">
        <v>168</v>
      </c>
      <c r="D84" s="155">
        <f t="shared" si="40"/>
        <v>0.61019096844396081</v>
      </c>
      <c r="E84" s="44">
        <v>520</v>
      </c>
      <c r="F84" s="71">
        <f t="shared" si="41"/>
        <v>4.9901636197879178E-3</v>
      </c>
      <c r="H84" s="72">
        <f t="shared" si="28"/>
        <v>3807.5916430903153</v>
      </c>
      <c r="J84" s="73">
        <f t="shared" si="42"/>
        <v>430.46357615894044</v>
      </c>
      <c r="K84" s="74">
        <f t="shared" si="43"/>
        <v>290.10000000000002</v>
      </c>
      <c r="L84" s="64"/>
      <c r="M84" s="72">
        <f t="shared" si="44"/>
        <v>4528.1552192492563</v>
      </c>
      <c r="N84" s="75">
        <f t="shared" si="45"/>
        <v>1132.0388048123141</v>
      </c>
      <c r="P84" s="72">
        <f t="shared" si="46"/>
        <v>0</v>
      </c>
      <c r="R84" s="72">
        <f t="shared" si="47"/>
        <v>4528.1552192492563</v>
      </c>
      <c r="T84" s="72">
        <f t="shared" si="48"/>
        <v>0</v>
      </c>
      <c r="U84" s="72">
        <f t="shared" si="30"/>
        <v>0</v>
      </c>
    </row>
    <row r="85" spans="1:21" x14ac:dyDescent="0.25">
      <c r="A85" s="92">
        <v>31</v>
      </c>
      <c r="B85" s="43">
        <v>305</v>
      </c>
      <c r="C85" s="43" t="s">
        <v>169</v>
      </c>
      <c r="D85" s="155">
        <f t="shared" si="40"/>
        <v>0.61019096844396081</v>
      </c>
      <c r="E85" s="44">
        <v>520</v>
      </c>
      <c r="F85" s="71">
        <f t="shared" si="41"/>
        <v>4.9901636197879178E-3</v>
      </c>
      <c r="H85" s="72">
        <f t="shared" si="28"/>
        <v>3807.5916430903153</v>
      </c>
      <c r="J85" s="73">
        <f t="shared" si="42"/>
        <v>430.46357615894044</v>
      </c>
      <c r="K85" s="74">
        <f t="shared" si="43"/>
        <v>290.10000000000002</v>
      </c>
      <c r="L85" s="64"/>
      <c r="M85" s="72">
        <f t="shared" si="44"/>
        <v>4528.1552192492563</v>
      </c>
      <c r="N85" s="75">
        <f t="shared" si="45"/>
        <v>1132.0388048123141</v>
      </c>
      <c r="P85" s="72">
        <f t="shared" si="46"/>
        <v>0</v>
      </c>
      <c r="R85" s="72">
        <f t="shared" si="47"/>
        <v>4528.1552192492563</v>
      </c>
      <c r="T85" s="72">
        <f t="shared" si="48"/>
        <v>0</v>
      </c>
      <c r="U85" s="72">
        <f t="shared" si="30"/>
        <v>0</v>
      </c>
    </row>
    <row r="86" spans="1:21" x14ac:dyDescent="0.25">
      <c r="A86" s="92">
        <v>32</v>
      </c>
      <c r="B86" s="43">
        <v>306</v>
      </c>
      <c r="C86" s="43" t="s">
        <v>156</v>
      </c>
      <c r="D86" s="155">
        <f t="shared" si="40"/>
        <v>0.61019096844396081</v>
      </c>
      <c r="E86" s="44">
        <v>515</v>
      </c>
      <c r="F86" s="71">
        <f t="shared" si="41"/>
        <v>4.942181277289957E-3</v>
      </c>
      <c r="H86" s="72">
        <f t="shared" si="28"/>
        <v>3770.9801849836781</v>
      </c>
      <c r="J86" s="73">
        <f t="shared" si="42"/>
        <v>426.32450331125835</v>
      </c>
      <c r="K86" s="74">
        <f t="shared" si="43"/>
        <v>290.10000000000002</v>
      </c>
      <c r="L86" s="64"/>
      <c r="M86" s="72">
        <f t="shared" si="44"/>
        <v>4487.4046882949369</v>
      </c>
      <c r="N86" s="75">
        <f t="shared" si="45"/>
        <v>1121.8511720737342</v>
      </c>
      <c r="P86" s="72">
        <f t="shared" si="46"/>
        <v>0</v>
      </c>
      <c r="R86" s="72">
        <f t="shared" si="47"/>
        <v>4487.4046882949369</v>
      </c>
      <c r="T86" s="72">
        <f t="shared" si="48"/>
        <v>0</v>
      </c>
      <c r="U86" s="72">
        <f t="shared" si="30"/>
        <v>0</v>
      </c>
    </row>
    <row r="87" spans="1:21" x14ac:dyDescent="0.25">
      <c r="A87" s="92">
        <v>33</v>
      </c>
      <c r="B87" s="43">
        <v>307</v>
      </c>
      <c r="C87" s="43" t="s">
        <v>170</v>
      </c>
      <c r="D87" s="155">
        <f t="shared" si="40"/>
        <v>0.61019096844396081</v>
      </c>
      <c r="E87" s="44">
        <v>520</v>
      </c>
      <c r="F87" s="71">
        <f t="shared" si="41"/>
        <v>4.9901636197879178E-3</v>
      </c>
      <c r="H87" s="72">
        <f t="shared" si="28"/>
        <v>3807.5916430903153</v>
      </c>
      <c r="J87" s="73">
        <f t="shared" si="42"/>
        <v>430.46357615894044</v>
      </c>
      <c r="K87" s="74">
        <f t="shared" si="43"/>
        <v>290.10000000000002</v>
      </c>
      <c r="L87" s="64"/>
      <c r="M87" s="72">
        <f t="shared" si="44"/>
        <v>4528.1552192492563</v>
      </c>
      <c r="N87" s="75">
        <f t="shared" si="45"/>
        <v>1132.0388048123141</v>
      </c>
      <c r="P87" s="72">
        <f t="shared" si="46"/>
        <v>0</v>
      </c>
      <c r="R87" s="72">
        <f t="shared" si="47"/>
        <v>4528.1552192492563</v>
      </c>
      <c r="T87" s="72">
        <f t="shared" si="48"/>
        <v>0</v>
      </c>
      <c r="U87" s="72">
        <f t="shared" si="30"/>
        <v>0</v>
      </c>
    </row>
    <row r="88" spans="1:21" x14ac:dyDescent="0.25">
      <c r="A88" s="92">
        <v>34</v>
      </c>
      <c r="B88" s="43">
        <v>308</v>
      </c>
      <c r="C88" s="43" t="s">
        <v>171</v>
      </c>
      <c r="D88" s="155">
        <f t="shared" si="40"/>
        <v>0.61019096844396081</v>
      </c>
      <c r="E88" s="44">
        <v>520</v>
      </c>
      <c r="F88" s="71">
        <f t="shared" si="41"/>
        <v>4.9901636197879178E-3</v>
      </c>
      <c r="H88" s="72">
        <f t="shared" si="28"/>
        <v>3807.5916430903153</v>
      </c>
      <c r="J88" s="73">
        <f t="shared" si="42"/>
        <v>430.46357615894044</v>
      </c>
      <c r="K88" s="74">
        <f t="shared" si="43"/>
        <v>290.10000000000002</v>
      </c>
      <c r="L88" s="64"/>
      <c r="M88" s="72">
        <f t="shared" si="44"/>
        <v>4528.1552192492563</v>
      </c>
      <c r="N88" s="75">
        <f t="shared" si="45"/>
        <v>1132.0388048123141</v>
      </c>
      <c r="P88" s="72">
        <f t="shared" si="46"/>
        <v>0</v>
      </c>
      <c r="R88" s="72">
        <f t="shared" si="47"/>
        <v>4528.1552192492563</v>
      </c>
      <c r="T88" s="72">
        <f t="shared" si="48"/>
        <v>0</v>
      </c>
      <c r="U88" s="72">
        <f t="shared" si="30"/>
        <v>0</v>
      </c>
    </row>
    <row r="89" spans="1:21" x14ac:dyDescent="0.25">
      <c r="A89" s="92">
        <v>35</v>
      </c>
      <c r="B89" s="43">
        <v>309</v>
      </c>
      <c r="C89" s="43" t="s">
        <v>149</v>
      </c>
      <c r="D89" s="155">
        <f t="shared" si="40"/>
        <v>0.61019096844396081</v>
      </c>
      <c r="E89" s="44">
        <v>462</v>
      </c>
      <c r="F89" s="71">
        <f t="shared" si="41"/>
        <v>4.4335684468115736E-3</v>
      </c>
      <c r="H89" s="72">
        <f t="shared" si="28"/>
        <v>3382.8987290533187</v>
      </c>
      <c r="J89" s="73">
        <f t="shared" si="42"/>
        <v>382.45033112582786</v>
      </c>
      <c r="K89" s="74">
        <f t="shared" si="43"/>
        <v>290.10000000000002</v>
      </c>
      <c r="L89" s="64"/>
      <c r="M89" s="72">
        <f t="shared" si="44"/>
        <v>4055.4490601791463</v>
      </c>
      <c r="N89" s="75">
        <f t="shared" si="45"/>
        <v>1013.8622650447866</v>
      </c>
      <c r="P89" s="72">
        <f t="shared" si="46"/>
        <v>0</v>
      </c>
      <c r="R89" s="72">
        <f t="shared" si="47"/>
        <v>4055.4490601791463</v>
      </c>
      <c r="T89" s="72">
        <f t="shared" si="48"/>
        <v>0</v>
      </c>
      <c r="U89" s="72">
        <f t="shared" si="30"/>
        <v>0</v>
      </c>
    </row>
    <row r="90" spans="1:21" x14ac:dyDescent="0.25">
      <c r="A90" s="92">
        <v>36</v>
      </c>
      <c r="B90" s="43">
        <v>313</v>
      </c>
      <c r="C90" s="43" t="s">
        <v>149</v>
      </c>
      <c r="D90" s="155">
        <f t="shared" si="40"/>
        <v>0.61019096844396081</v>
      </c>
      <c r="E90" s="44">
        <v>520</v>
      </c>
      <c r="F90" s="71">
        <f t="shared" si="41"/>
        <v>4.9901636197879178E-3</v>
      </c>
      <c r="H90" s="72">
        <f t="shared" si="28"/>
        <v>3807.5916430903153</v>
      </c>
      <c r="J90" s="73">
        <f t="shared" si="42"/>
        <v>430.46357615894044</v>
      </c>
      <c r="K90" s="74">
        <f t="shared" si="43"/>
        <v>290.10000000000002</v>
      </c>
      <c r="L90" s="64"/>
      <c r="M90" s="72">
        <f t="shared" si="44"/>
        <v>4528.1552192492563</v>
      </c>
      <c r="N90" s="75">
        <f t="shared" si="45"/>
        <v>1132.0388048123141</v>
      </c>
      <c r="P90" s="72">
        <f t="shared" si="46"/>
        <v>0</v>
      </c>
      <c r="R90" s="72">
        <f t="shared" si="47"/>
        <v>4528.1552192492563</v>
      </c>
      <c r="T90" s="72">
        <f t="shared" si="48"/>
        <v>0</v>
      </c>
      <c r="U90" s="72">
        <f t="shared" si="30"/>
        <v>0</v>
      </c>
    </row>
    <row r="91" spans="1:21" x14ac:dyDescent="0.25">
      <c r="A91" s="92">
        <v>37</v>
      </c>
      <c r="B91" s="43">
        <v>314</v>
      </c>
      <c r="C91" s="43" t="s">
        <v>172</v>
      </c>
      <c r="D91" s="155">
        <f t="shared" si="40"/>
        <v>0.61019096844396081</v>
      </c>
      <c r="E91" s="44">
        <v>520</v>
      </c>
      <c r="F91" s="71">
        <f t="shared" si="41"/>
        <v>4.9901636197879178E-3</v>
      </c>
      <c r="H91" s="72">
        <f t="shared" si="28"/>
        <v>3807.5916430903153</v>
      </c>
      <c r="J91" s="73">
        <f t="shared" si="42"/>
        <v>430.46357615894044</v>
      </c>
      <c r="K91" s="74">
        <f t="shared" si="43"/>
        <v>290.10000000000002</v>
      </c>
      <c r="L91" s="64"/>
      <c r="M91" s="72">
        <f t="shared" si="44"/>
        <v>4528.1552192492563</v>
      </c>
      <c r="N91" s="75">
        <f t="shared" si="45"/>
        <v>1132.0388048123141</v>
      </c>
      <c r="P91" s="72">
        <f t="shared" si="46"/>
        <v>0</v>
      </c>
      <c r="R91" s="72">
        <f t="shared" si="47"/>
        <v>4528.1552192492563</v>
      </c>
      <c r="T91" s="72">
        <f t="shared" si="48"/>
        <v>0</v>
      </c>
      <c r="U91" s="72">
        <f t="shared" si="30"/>
        <v>0</v>
      </c>
    </row>
    <row r="92" spans="1:21" x14ac:dyDescent="0.25">
      <c r="A92" s="92">
        <v>38</v>
      </c>
      <c r="B92" s="43">
        <v>315</v>
      </c>
      <c r="C92" s="43" t="s">
        <v>149</v>
      </c>
      <c r="D92" s="155">
        <f t="shared" si="40"/>
        <v>0.61019096844396081</v>
      </c>
      <c r="E92" s="44">
        <v>600</v>
      </c>
      <c r="F92" s="71">
        <f t="shared" si="41"/>
        <v>5.7578810997552902E-3</v>
      </c>
      <c r="H92" s="72">
        <f t="shared" si="28"/>
        <v>4393.3749727965178</v>
      </c>
      <c r="J92" s="73">
        <f t="shared" si="42"/>
        <v>496.68874172185434</v>
      </c>
      <c r="K92" s="74">
        <f t="shared" si="43"/>
        <v>290.10000000000002</v>
      </c>
      <c r="L92" s="64"/>
      <c r="M92" s="72">
        <f t="shared" si="44"/>
        <v>5180.1637145183722</v>
      </c>
      <c r="N92" s="75">
        <f t="shared" si="45"/>
        <v>1295.0409286295931</v>
      </c>
      <c r="P92" s="72">
        <f t="shared" si="46"/>
        <v>0</v>
      </c>
      <c r="R92" s="72">
        <f t="shared" si="47"/>
        <v>5180.1637145183722</v>
      </c>
      <c r="T92" s="72">
        <f t="shared" si="48"/>
        <v>0</v>
      </c>
      <c r="U92" s="72">
        <f t="shared" si="30"/>
        <v>0</v>
      </c>
    </row>
    <row r="93" spans="1:21" x14ac:dyDescent="0.25">
      <c r="A93" s="92">
        <v>39</v>
      </c>
      <c r="B93" s="43">
        <v>316</v>
      </c>
      <c r="C93" s="43" t="s">
        <v>149</v>
      </c>
      <c r="D93" s="155">
        <f t="shared" si="40"/>
        <v>0.61019096844396081</v>
      </c>
      <c r="E93" s="44">
        <v>595</v>
      </c>
      <c r="F93" s="71">
        <f t="shared" si="41"/>
        <v>5.7098987572573295E-3</v>
      </c>
      <c r="H93" s="72">
        <f t="shared" si="28"/>
        <v>4356.7635146898801</v>
      </c>
      <c r="J93" s="73">
        <f t="shared" si="42"/>
        <v>492.5496688741722</v>
      </c>
      <c r="K93" s="74">
        <f t="shared" si="43"/>
        <v>290.10000000000002</v>
      </c>
      <c r="L93" s="64"/>
      <c r="M93" s="72">
        <f t="shared" si="44"/>
        <v>5139.4131835640528</v>
      </c>
      <c r="N93" s="75">
        <f t="shared" si="45"/>
        <v>1284.8532958910132</v>
      </c>
      <c r="P93" s="72">
        <f t="shared" si="46"/>
        <v>0</v>
      </c>
      <c r="R93" s="72">
        <f t="shared" si="47"/>
        <v>5139.4131835640528</v>
      </c>
      <c r="T93" s="72">
        <f t="shared" si="48"/>
        <v>0</v>
      </c>
      <c r="U93" s="72">
        <f t="shared" si="30"/>
        <v>0</v>
      </c>
    </row>
    <row r="94" spans="1:21" x14ac:dyDescent="0.25">
      <c r="A94" s="92">
        <v>40</v>
      </c>
      <c r="B94" s="43">
        <v>317</v>
      </c>
      <c r="C94" s="43" t="s">
        <v>173</v>
      </c>
      <c r="D94" s="155">
        <f t="shared" si="40"/>
        <v>0.61019096844396081</v>
      </c>
      <c r="E94" s="44">
        <v>520</v>
      </c>
      <c r="F94" s="71">
        <f t="shared" si="41"/>
        <v>4.9901636197879178E-3</v>
      </c>
      <c r="H94" s="72">
        <f t="shared" si="28"/>
        <v>3807.5916430903153</v>
      </c>
      <c r="J94" s="73">
        <f t="shared" si="42"/>
        <v>430.46357615894044</v>
      </c>
      <c r="K94" s="74">
        <f t="shared" si="43"/>
        <v>290.10000000000002</v>
      </c>
      <c r="L94" s="64"/>
      <c r="M94" s="72">
        <f t="shared" si="44"/>
        <v>4528.1552192492563</v>
      </c>
      <c r="N94" s="75">
        <f t="shared" si="45"/>
        <v>1132.0388048123141</v>
      </c>
      <c r="O94" s="94"/>
      <c r="P94" s="72">
        <f t="shared" si="46"/>
        <v>0</v>
      </c>
      <c r="Q94" s="94"/>
      <c r="R94" s="72">
        <f t="shared" si="47"/>
        <v>4528.1552192492563</v>
      </c>
      <c r="T94" s="72">
        <f t="shared" si="48"/>
        <v>0</v>
      </c>
      <c r="U94" s="72">
        <f t="shared" si="30"/>
        <v>0</v>
      </c>
    </row>
    <row r="95" spans="1:21" x14ac:dyDescent="0.25">
      <c r="A95" s="92">
        <v>41</v>
      </c>
      <c r="B95" s="43">
        <v>318</v>
      </c>
      <c r="C95" s="43" t="s">
        <v>173</v>
      </c>
      <c r="D95" s="155">
        <f t="shared" si="40"/>
        <v>0.61019096844396081</v>
      </c>
      <c r="E95" s="44">
        <v>520</v>
      </c>
      <c r="F95" s="71">
        <f t="shared" si="41"/>
        <v>4.9901636197879178E-3</v>
      </c>
      <c r="H95" s="72">
        <f t="shared" si="28"/>
        <v>3807.5916430903153</v>
      </c>
      <c r="J95" s="73">
        <f t="shared" si="42"/>
        <v>430.46357615894044</v>
      </c>
      <c r="K95" s="74">
        <f t="shared" si="43"/>
        <v>290.10000000000002</v>
      </c>
      <c r="L95" s="64"/>
      <c r="M95" s="72">
        <f t="shared" si="44"/>
        <v>4528.1552192492563</v>
      </c>
      <c r="N95" s="75">
        <f t="shared" si="45"/>
        <v>1132.0388048123141</v>
      </c>
      <c r="O95" s="94"/>
      <c r="P95" s="72">
        <f t="shared" si="46"/>
        <v>0</v>
      </c>
      <c r="Q95" s="94"/>
      <c r="R95" s="72">
        <f t="shared" si="47"/>
        <v>4528.1552192492563</v>
      </c>
      <c r="T95" s="72">
        <f t="shared" si="48"/>
        <v>0</v>
      </c>
      <c r="U95" s="72">
        <f t="shared" si="30"/>
        <v>0</v>
      </c>
    </row>
    <row r="96" spans="1:21" x14ac:dyDescent="0.25">
      <c r="A96" s="92">
        <v>42</v>
      </c>
      <c r="B96" s="43">
        <v>319</v>
      </c>
      <c r="C96" s="43" t="s">
        <v>173</v>
      </c>
      <c r="D96" s="155">
        <f t="shared" si="40"/>
        <v>0.61019096844396081</v>
      </c>
      <c r="E96" s="44">
        <v>520</v>
      </c>
      <c r="F96" s="71">
        <f t="shared" si="41"/>
        <v>4.9901636197879178E-3</v>
      </c>
      <c r="H96" s="72">
        <f t="shared" si="28"/>
        <v>3807.5916430903153</v>
      </c>
      <c r="J96" s="73">
        <f t="shared" si="42"/>
        <v>430.46357615894044</v>
      </c>
      <c r="K96" s="74">
        <f t="shared" si="43"/>
        <v>290.10000000000002</v>
      </c>
      <c r="L96" s="64"/>
      <c r="M96" s="72">
        <f t="shared" si="44"/>
        <v>4528.1552192492563</v>
      </c>
      <c r="N96" s="75">
        <f t="shared" si="45"/>
        <v>1132.0388048123141</v>
      </c>
      <c r="P96" s="72">
        <f t="shared" si="46"/>
        <v>0</v>
      </c>
      <c r="R96" s="72">
        <f t="shared" si="47"/>
        <v>4528.1552192492563</v>
      </c>
      <c r="T96" s="72">
        <f t="shared" si="48"/>
        <v>0</v>
      </c>
      <c r="U96" s="72">
        <f t="shared" si="30"/>
        <v>0</v>
      </c>
    </row>
    <row r="97" spans="1:21" x14ac:dyDescent="0.25">
      <c r="A97" s="92">
        <v>43</v>
      </c>
      <c r="B97" s="43">
        <v>320</v>
      </c>
      <c r="C97" s="43" t="s">
        <v>174</v>
      </c>
      <c r="D97" s="155">
        <f t="shared" si="40"/>
        <v>0.61019096844396081</v>
      </c>
      <c r="E97" s="44">
        <v>515</v>
      </c>
      <c r="F97" s="71">
        <f t="shared" si="41"/>
        <v>4.942181277289957E-3</v>
      </c>
      <c r="H97" s="72">
        <f t="shared" si="28"/>
        <v>3770.9801849836781</v>
      </c>
      <c r="J97" s="73">
        <f t="shared" si="42"/>
        <v>426.32450331125835</v>
      </c>
      <c r="K97" s="74">
        <f t="shared" si="43"/>
        <v>290.10000000000002</v>
      </c>
      <c r="L97" s="64"/>
      <c r="M97" s="72">
        <f t="shared" si="44"/>
        <v>4487.4046882949369</v>
      </c>
      <c r="N97" s="75">
        <f t="shared" si="45"/>
        <v>1121.8511720737342</v>
      </c>
      <c r="P97" s="72">
        <f t="shared" si="46"/>
        <v>0</v>
      </c>
      <c r="R97" s="72">
        <f t="shared" si="47"/>
        <v>4487.4046882949369</v>
      </c>
      <c r="T97" s="72">
        <f t="shared" si="48"/>
        <v>0</v>
      </c>
      <c r="U97" s="72">
        <f t="shared" si="30"/>
        <v>0</v>
      </c>
    </row>
    <row r="98" spans="1:21" x14ac:dyDescent="0.25">
      <c r="A98" s="92">
        <v>44</v>
      </c>
      <c r="B98" s="43">
        <v>321</v>
      </c>
      <c r="C98" s="43" t="s">
        <v>149</v>
      </c>
      <c r="D98" s="155">
        <f t="shared" si="40"/>
        <v>0.61019096844396081</v>
      </c>
      <c r="E98" s="44">
        <v>492</v>
      </c>
      <c r="F98" s="71">
        <f t="shared" si="41"/>
        <v>4.7214625017993382E-3</v>
      </c>
      <c r="H98" s="72">
        <f t="shared" si="28"/>
        <v>3602.5674776931446</v>
      </c>
      <c r="J98" s="73">
        <f t="shared" si="42"/>
        <v>407.28476821192055</v>
      </c>
      <c r="K98" s="74">
        <f t="shared" si="43"/>
        <v>290.10000000000002</v>
      </c>
      <c r="L98" s="64"/>
      <c r="M98" s="72">
        <f t="shared" si="44"/>
        <v>4299.952245905065</v>
      </c>
      <c r="N98" s="75">
        <f t="shared" si="45"/>
        <v>1074.9880614762662</v>
      </c>
      <c r="P98" s="72">
        <f t="shared" si="46"/>
        <v>0</v>
      </c>
      <c r="R98" s="72">
        <f t="shared" si="47"/>
        <v>4299.952245905065</v>
      </c>
      <c r="T98" s="72">
        <f t="shared" si="48"/>
        <v>0</v>
      </c>
      <c r="U98" s="72">
        <f t="shared" si="30"/>
        <v>0</v>
      </c>
    </row>
    <row r="99" spans="1:21" x14ac:dyDescent="0.25">
      <c r="A99" s="92">
        <v>45</v>
      </c>
      <c r="B99" s="43">
        <v>322</v>
      </c>
      <c r="C99" s="43" t="s">
        <v>149</v>
      </c>
      <c r="D99" s="155">
        <f t="shared" si="40"/>
        <v>0.61019096844396081</v>
      </c>
      <c r="E99" s="44">
        <v>492</v>
      </c>
      <c r="F99" s="71">
        <f t="shared" si="41"/>
        <v>4.7214625017993382E-3</v>
      </c>
      <c r="H99" s="72">
        <f t="shared" si="28"/>
        <v>3602.5674776931446</v>
      </c>
      <c r="J99" s="73">
        <f t="shared" si="42"/>
        <v>407.28476821192055</v>
      </c>
      <c r="K99" s="74">
        <f t="shared" si="43"/>
        <v>290.10000000000002</v>
      </c>
      <c r="L99" s="64"/>
      <c r="M99" s="72">
        <f t="shared" si="44"/>
        <v>4299.952245905065</v>
      </c>
      <c r="N99" s="75">
        <f t="shared" si="45"/>
        <v>1074.9880614762662</v>
      </c>
      <c r="P99" s="72">
        <f t="shared" si="46"/>
        <v>0</v>
      </c>
      <c r="R99" s="72">
        <f t="shared" si="47"/>
        <v>4299.952245905065</v>
      </c>
      <c r="T99" s="72">
        <f t="shared" si="48"/>
        <v>0</v>
      </c>
      <c r="U99" s="72">
        <f t="shared" si="30"/>
        <v>0</v>
      </c>
    </row>
    <row r="100" spans="1:21" x14ac:dyDescent="0.25">
      <c r="A100" s="42"/>
      <c r="B100" s="43"/>
      <c r="C100" s="43"/>
      <c r="D100" s="155"/>
      <c r="E100" s="44"/>
      <c r="F100" s="71"/>
      <c r="H100" s="72"/>
      <c r="J100" s="73"/>
      <c r="K100" s="76"/>
      <c r="L100" s="64"/>
      <c r="M100" s="72"/>
      <c r="N100" s="77"/>
      <c r="P100" s="72"/>
      <c r="R100" s="72"/>
      <c r="T100" s="72"/>
      <c r="U100" s="72"/>
    </row>
    <row r="101" spans="1:21" x14ac:dyDescent="0.25">
      <c r="A101" s="92">
        <v>46</v>
      </c>
      <c r="B101" s="43">
        <v>401</v>
      </c>
      <c r="C101" s="43" t="s">
        <v>175</v>
      </c>
      <c r="D101" s="155">
        <f t="shared" ref="D101:D118" si="49">0.59*(1+$Y$5)</f>
        <v>0.61019096844396081</v>
      </c>
      <c r="E101" s="44">
        <v>505</v>
      </c>
      <c r="F101" s="71">
        <f t="shared" ref="F101:F118" si="50">E101/$E$130</f>
        <v>4.8462165922940354E-3</v>
      </c>
      <c r="H101" s="72">
        <f t="shared" si="28"/>
        <v>3697.7572687704023</v>
      </c>
      <c r="J101" s="73">
        <f t="shared" ref="J101:J118" si="51">+E101*$Y$61*12</f>
        <v>418.04635761589407</v>
      </c>
      <c r="K101" s="74">
        <f t="shared" ref="K101:K118" si="52">250*1.1604</f>
        <v>290.10000000000002</v>
      </c>
      <c r="L101" s="64"/>
      <c r="M101" s="72">
        <f t="shared" ref="M101:M118" si="53">+H101+J101+K101</f>
        <v>4405.9036263862963</v>
      </c>
      <c r="N101" s="75">
        <f t="shared" ref="N101:N118" si="54">+M101/4</f>
        <v>1101.4759065965741</v>
      </c>
      <c r="P101" s="72">
        <f t="shared" ref="P101:P118" si="55">+T101+U101</f>
        <v>0</v>
      </c>
      <c r="R101" s="72">
        <f t="shared" ref="R101:R118" si="56">+M101+P101</f>
        <v>4405.9036263862963</v>
      </c>
      <c r="T101" s="72">
        <f t="shared" ref="T101:T118" si="57">+$F101*$T$134</f>
        <v>0</v>
      </c>
      <c r="U101" s="72">
        <f t="shared" si="30"/>
        <v>0</v>
      </c>
    </row>
    <row r="102" spans="1:21" x14ac:dyDescent="0.25">
      <c r="A102" s="92">
        <v>47</v>
      </c>
      <c r="B102" s="43">
        <v>402</v>
      </c>
      <c r="C102" s="43" t="s">
        <v>176</v>
      </c>
      <c r="D102" s="155">
        <f t="shared" si="49"/>
        <v>0.61019096844396081</v>
      </c>
      <c r="E102" s="44">
        <v>505</v>
      </c>
      <c r="F102" s="71">
        <f t="shared" si="50"/>
        <v>4.8462165922940354E-3</v>
      </c>
      <c r="H102" s="72">
        <f t="shared" si="28"/>
        <v>3697.7572687704023</v>
      </c>
      <c r="J102" s="73">
        <f t="shared" si="51"/>
        <v>418.04635761589407</v>
      </c>
      <c r="K102" s="74">
        <f t="shared" si="52"/>
        <v>290.10000000000002</v>
      </c>
      <c r="L102" s="64"/>
      <c r="M102" s="72">
        <f t="shared" si="53"/>
        <v>4405.9036263862963</v>
      </c>
      <c r="N102" s="75">
        <f t="shared" si="54"/>
        <v>1101.4759065965741</v>
      </c>
      <c r="P102" s="72">
        <f t="shared" si="55"/>
        <v>0</v>
      </c>
      <c r="R102" s="72">
        <f t="shared" si="56"/>
        <v>4405.9036263862963</v>
      </c>
      <c r="T102" s="72">
        <f t="shared" si="57"/>
        <v>0</v>
      </c>
      <c r="U102" s="72">
        <f t="shared" si="30"/>
        <v>0</v>
      </c>
    </row>
    <row r="103" spans="1:21" x14ac:dyDescent="0.25">
      <c r="A103" s="92">
        <v>48</v>
      </c>
      <c r="B103" s="43">
        <v>403</v>
      </c>
      <c r="C103" s="43" t="s">
        <v>149</v>
      </c>
      <c r="D103" s="155">
        <f t="shared" si="49"/>
        <v>0.61019096844396081</v>
      </c>
      <c r="E103" s="44">
        <v>510</v>
      </c>
      <c r="F103" s="71">
        <f t="shared" si="50"/>
        <v>4.8941989347919962E-3</v>
      </c>
      <c r="H103" s="72">
        <f t="shared" si="28"/>
        <v>3734.36872687704</v>
      </c>
      <c r="J103" s="73">
        <f t="shared" si="51"/>
        <v>422.18543046357615</v>
      </c>
      <c r="K103" s="74">
        <f t="shared" si="52"/>
        <v>290.10000000000002</v>
      </c>
      <c r="L103" s="64"/>
      <c r="M103" s="72">
        <f t="shared" si="53"/>
        <v>4446.6541573406166</v>
      </c>
      <c r="N103" s="75">
        <f t="shared" si="54"/>
        <v>1111.6635393351542</v>
      </c>
      <c r="P103" s="72">
        <f t="shared" si="55"/>
        <v>0</v>
      </c>
      <c r="R103" s="72">
        <f t="shared" si="56"/>
        <v>4446.6541573406166</v>
      </c>
      <c r="T103" s="72">
        <f t="shared" si="57"/>
        <v>0</v>
      </c>
      <c r="U103" s="72">
        <f t="shared" si="30"/>
        <v>0</v>
      </c>
    </row>
    <row r="104" spans="1:21" x14ac:dyDescent="0.25">
      <c r="A104" s="92">
        <v>49</v>
      </c>
      <c r="B104" s="43">
        <v>404</v>
      </c>
      <c r="C104" s="43" t="s">
        <v>177</v>
      </c>
      <c r="D104" s="155">
        <f t="shared" si="49"/>
        <v>0.61019096844396081</v>
      </c>
      <c r="E104" s="44">
        <v>515</v>
      </c>
      <c r="F104" s="71">
        <f t="shared" si="50"/>
        <v>4.942181277289957E-3</v>
      </c>
      <c r="H104" s="72">
        <f t="shared" si="28"/>
        <v>3770.9801849836781</v>
      </c>
      <c r="J104" s="73">
        <f t="shared" si="51"/>
        <v>426.32450331125835</v>
      </c>
      <c r="K104" s="74">
        <f t="shared" si="52"/>
        <v>290.10000000000002</v>
      </c>
      <c r="L104" s="64"/>
      <c r="M104" s="72">
        <f t="shared" si="53"/>
        <v>4487.4046882949369</v>
      </c>
      <c r="N104" s="75">
        <f t="shared" si="54"/>
        <v>1121.8511720737342</v>
      </c>
      <c r="P104" s="72">
        <f t="shared" si="55"/>
        <v>0</v>
      </c>
      <c r="R104" s="72">
        <f t="shared" si="56"/>
        <v>4487.4046882949369</v>
      </c>
      <c r="T104" s="72">
        <f t="shared" si="57"/>
        <v>0</v>
      </c>
      <c r="U104" s="72">
        <f t="shared" si="30"/>
        <v>0</v>
      </c>
    </row>
    <row r="105" spans="1:21" x14ac:dyDescent="0.25">
      <c r="A105" s="92">
        <v>50</v>
      </c>
      <c r="B105" s="43">
        <v>405</v>
      </c>
      <c r="C105" s="43" t="s">
        <v>149</v>
      </c>
      <c r="D105" s="155">
        <f t="shared" si="49"/>
        <v>0.61019096844396081</v>
      </c>
      <c r="E105" s="44">
        <v>515</v>
      </c>
      <c r="F105" s="71">
        <f t="shared" si="50"/>
        <v>4.942181277289957E-3</v>
      </c>
      <c r="H105" s="72">
        <f t="shared" si="28"/>
        <v>3770.9801849836781</v>
      </c>
      <c r="J105" s="73">
        <f t="shared" si="51"/>
        <v>426.32450331125835</v>
      </c>
      <c r="K105" s="74">
        <f t="shared" si="52"/>
        <v>290.10000000000002</v>
      </c>
      <c r="L105" s="64"/>
      <c r="M105" s="72">
        <f t="shared" si="53"/>
        <v>4487.4046882949369</v>
      </c>
      <c r="N105" s="75">
        <f t="shared" si="54"/>
        <v>1121.8511720737342</v>
      </c>
      <c r="P105" s="72">
        <f t="shared" si="55"/>
        <v>0</v>
      </c>
      <c r="R105" s="72">
        <f t="shared" si="56"/>
        <v>4487.4046882949369</v>
      </c>
      <c r="T105" s="72">
        <f t="shared" si="57"/>
        <v>0</v>
      </c>
      <c r="U105" s="72">
        <f t="shared" si="30"/>
        <v>0</v>
      </c>
    </row>
    <row r="106" spans="1:21" x14ac:dyDescent="0.25">
      <c r="A106" s="92">
        <v>51</v>
      </c>
      <c r="B106" s="43">
        <v>406</v>
      </c>
      <c r="C106" s="43" t="s">
        <v>178</v>
      </c>
      <c r="D106" s="155">
        <f t="shared" si="49"/>
        <v>0.61019096844396081</v>
      </c>
      <c r="E106" s="44">
        <v>510</v>
      </c>
      <c r="F106" s="71">
        <f t="shared" si="50"/>
        <v>4.8941989347919962E-3</v>
      </c>
      <c r="H106" s="72">
        <f t="shared" si="28"/>
        <v>3734.36872687704</v>
      </c>
      <c r="J106" s="73">
        <f t="shared" si="51"/>
        <v>422.18543046357615</v>
      </c>
      <c r="K106" s="74">
        <f t="shared" si="52"/>
        <v>290.10000000000002</v>
      </c>
      <c r="L106" s="64"/>
      <c r="M106" s="72">
        <f t="shared" si="53"/>
        <v>4446.6541573406166</v>
      </c>
      <c r="N106" s="75">
        <f t="shared" si="54"/>
        <v>1111.6635393351542</v>
      </c>
      <c r="P106" s="72">
        <f t="shared" si="55"/>
        <v>0</v>
      </c>
      <c r="R106" s="72">
        <f t="shared" si="56"/>
        <v>4446.6541573406166</v>
      </c>
      <c r="T106" s="72">
        <f t="shared" si="57"/>
        <v>0</v>
      </c>
      <c r="U106" s="72">
        <f t="shared" si="30"/>
        <v>0</v>
      </c>
    </row>
    <row r="107" spans="1:21" x14ac:dyDescent="0.25">
      <c r="A107" s="92">
        <v>52</v>
      </c>
      <c r="B107" s="43">
        <v>407</v>
      </c>
      <c r="C107" s="43" t="s">
        <v>179</v>
      </c>
      <c r="D107" s="155">
        <f t="shared" si="49"/>
        <v>0.61019096844396081</v>
      </c>
      <c r="E107" s="44">
        <v>520</v>
      </c>
      <c r="F107" s="71">
        <f t="shared" si="50"/>
        <v>4.9901636197879178E-3</v>
      </c>
      <c r="H107" s="72">
        <f t="shared" si="28"/>
        <v>3807.5916430903153</v>
      </c>
      <c r="J107" s="73">
        <f t="shared" si="51"/>
        <v>430.46357615894044</v>
      </c>
      <c r="K107" s="74">
        <f t="shared" si="52"/>
        <v>290.10000000000002</v>
      </c>
      <c r="L107" s="64"/>
      <c r="M107" s="72">
        <f t="shared" si="53"/>
        <v>4528.1552192492563</v>
      </c>
      <c r="N107" s="75">
        <f t="shared" si="54"/>
        <v>1132.0388048123141</v>
      </c>
      <c r="P107" s="72">
        <f t="shared" si="55"/>
        <v>0</v>
      </c>
      <c r="R107" s="72">
        <f t="shared" si="56"/>
        <v>4528.1552192492563</v>
      </c>
      <c r="T107" s="72">
        <f t="shared" si="57"/>
        <v>0</v>
      </c>
      <c r="U107" s="72">
        <f t="shared" si="30"/>
        <v>0</v>
      </c>
    </row>
    <row r="108" spans="1:21" x14ac:dyDescent="0.25">
      <c r="A108" s="92">
        <v>53</v>
      </c>
      <c r="B108" s="43">
        <v>408</v>
      </c>
      <c r="C108" s="43" t="s">
        <v>180</v>
      </c>
      <c r="D108" s="155">
        <f t="shared" si="49"/>
        <v>0.61019096844396081</v>
      </c>
      <c r="E108" s="44">
        <v>520</v>
      </c>
      <c r="F108" s="71">
        <f t="shared" si="50"/>
        <v>4.9901636197879178E-3</v>
      </c>
      <c r="H108" s="72">
        <f t="shared" si="28"/>
        <v>3807.5916430903153</v>
      </c>
      <c r="J108" s="73">
        <f t="shared" si="51"/>
        <v>430.46357615894044</v>
      </c>
      <c r="K108" s="74">
        <f t="shared" si="52"/>
        <v>290.10000000000002</v>
      </c>
      <c r="L108" s="64"/>
      <c r="M108" s="72">
        <f t="shared" si="53"/>
        <v>4528.1552192492563</v>
      </c>
      <c r="N108" s="75">
        <f t="shared" si="54"/>
        <v>1132.0388048123141</v>
      </c>
      <c r="P108" s="72">
        <f t="shared" si="55"/>
        <v>0</v>
      </c>
      <c r="R108" s="72">
        <f t="shared" si="56"/>
        <v>4528.1552192492563</v>
      </c>
      <c r="T108" s="72">
        <f t="shared" si="57"/>
        <v>0</v>
      </c>
      <c r="U108" s="72">
        <f t="shared" si="30"/>
        <v>0</v>
      </c>
    </row>
    <row r="109" spans="1:21" x14ac:dyDescent="0.25">
      <c r="A109" s="92">
        <v>54</v>
      </c>
      <c r="B109" s="43">
        <v>409</v>
      </c>
      <c r="C109" s="43" t="s">
        <v>149</v>
      </c>
      <c r="D109" s="155">
        <f t="shared" si="49"/>
        <v>0.61019096844396081</v>
      </c>
      <c r="E109" s="44">
        <v>462</v>
      </c>
      <c r="F109" s="71">
        <f t="shared" si="50"/>
        <v>4.4335684468115736E-3</v>
      </c>
      <c r="H109" s="72">
        <f t="shared" si="28"/>
        <v>3382.8987290533187</v>
      </c>
      <c r="J109" s="73">
        <f t="shared" si="51"/>
        <v>382.45033112582786</v>
      </c>
      <c r="K109" s="74">
        <f t="shared" si="52"/>
        <v>290.10000000000002</v>
      </c>
      <c r="L109" s="64"/>
      <c r="M109" s="72">
        <f t="shared" si="53"/>
        <v>4055.4490601791463</v>
      </c>
      <c r="N109" s="75">
        <f t="shared" si="54"/>
        <v>1013.8622650447866</v>
      </c>
      <c r="P109" s="72">
        <f t="shared" si="55"/>
        <v>0</v>
      </c>
      <c r="R109" s="72">
        <f t="shared" si="56"/>
        <v>4055.4490601791463</v>
      </c>
      <c r="T109" s="72">
        <f t="shared" si="57"/>
        <v>0</v>
      </c>
      <c r="U109" s="72">
        <f t="shared" si="30"/>
        <v>0</v>
      </c>
    </row>
    <row r="110" spans="1:21" x14ac:dyDescent="0.25">
      <c r="A110" s="92">
        <v>55</v>
      </c>
      <c r="B110" s="43">
        <v>410</v>
      </c>
      <c r="C110" s="43" t="s">
        <v>181</v>
      </c>
      <c r="D110" s="155">
        <f t="shared" si="49"/>
        <v>0.61019096844396081</v>
      </c>
      <c r="E110" s="44">
        <v>462</v>
      </c>
      <c r="F110" s="71">
        <f t="shared" si="50"/>
        <v>4.4335684468115736E-3</v>
      </c>
      <c r="H110" s="72">
        <f t="shared" si="28"/>
        <v>3382.8987290533187</v>
      </c>
      <c r="J110" s="73">
        <f t="shared" si="51"/>
        <v>382.45033112582786</v>
      </c>
      <c r="K110" s="74">
        <f t="shared" si="52"/>
        <v>290.10000000000002</v>
      </c>
      <c r="L110" s="64"/>
      <c r="M110" s="72">
        <f t="shared" si="53"/>
        <v>4055.4490601791463</v>
      </c>
      <c r="N110" s="75">
        <f t="shared" si="54"/>
        <v>1013.8622650447866</v>
      </c>
      <c r="P110" s="72">
        <f t="shared" si="55"/>
        <v>0</v>
      </c>
      <c r="R110" s="72">
        <f t="shared" si="56"/>
        <v>4055.4490601791463</v>
      </c>
      <c r="T110" s="72">
        <f t="shared" si="57"/>
        <v>0</v>
      </c>
      <c r="U110" s="72">
        <f t="shared" si="30"/>
        <v>0</v>
      </c>
    </row>
    <row r="111" spans="1:21" x14ac:dyDescent="0.25">
      <c r="A111" s="92">
        <v>56</v>
      </c>
      <c r="B111" s="43">
        <v>412</v>
      </c>
      <c r="C111" s="43" t="s">
        <v>182</v>
      </c>
      <c r="D111" s="155">
        <f t="shared" si="49"/>
        <v>0.61019096844396081</v>
      </c>
      <c r="E111" s="44">
        <v>570</v>
      </c>
      <c r="F111" s="71">
        <f t="shared" si="50"/>
        <v>5.4699870447675256E-3</v>
      </c>
      <c r="H111" s="72">
        <f t="shared" si="28"/>
        <v>4173.7062241566919</v>
      </c>
      <c r="J111" s="73">
        <f t="shared" si="51"/>
        <v>471.85430463576165</v>
      </c>
      <c r="K111" s="74">
        <f t="shared" si="52"/>
        <v>290.10000000000002</v>
      </c>
      <c r="L111" s="64"/>
      <c r="M111" s="72">
        <f t="shared" si="53"/>
        <v>4935.660528792454</v>
      </c>
      <c r="N111" s="75">
        <f t="shared" si="54"/>
        <v>1233.9151321981135</v>
      </c>
      <c r="P111" s="72">
        <f t="shared" si="55"/>
        <v>0</v>
      </c>
      <c r="R111" s="72">
        <f t="shared" si="56"/>
        <v>4935.660528792454</v>
      </c>
      <c r="T111" s="72">
        <f t="shared" si="57"/>
        <v>0</v>
      </c>
      <c r="U111" s="72">
        <f t="shared" si="30"/>
        <v>0</v>
      </c>
    </row>
    <row r="112" spans="1:21" x14ac:dyDescent="0.25">
      <c r="A112" s="92">
        <v>57</v>
      </c>
      <c r="B112" s="43">
        <v>413</v>
      </c>
      <c r="C112" s="43" t="s">
        <v>183</v>
      </c>
      <c r="D112" s="155">
        <f t="shared" si="49"/>
        <v>0.61019096844396081</v>
      </c>
      <c r="E112" s="44">
        <v>570</v>
      </c>
      <c r="F112" s="71">
        <f t="shared" si="50"/>
        <v>5.4699870447675256E-3</v>
      </c>
      <c r="H112" s="72">
        <f t="shared" si="28"/>
        <v>4173.7062241566919</v>
      </c>
      <c r="J112" s="73">
        <f t="shared" si="51"/>
        <v>471.85430463576165</v>
      </c>
      <c r="K112" s="74">
        <f t="shared" si="52"/>
        <v>290.10000000000002</v>
      </c>
      <c r="L112" s="64"/>
      <c r="M112" s="72">
        <f t="shared" si="53"/>
        <v>4935.660528792454</v>
      </c>
      <c r="N112" s="75">
        <f t="shared" si="54"/>
        <v>1233.9151321981135</v>
      </c>
      <c r="P112" s="72">
        <f t="shared" si="55"/>
        <v>0</v>
      </c>
      <c r="R112" s="72">
        <f t="shared" si="56"/>
        <v>4935.660528792454</v>
      </c>
      <c r="T112" s="72">
        <f t="shared" si="57"/>
        <v>0</v>
      </c>
      <c r="U112" s="72">
        <f t="shared" si="30"/>
        <v>0</v>
      </c>
    </row>
    <row r="113" spans="1:21" x14ac:dyDescent="0.25">
      <c r="A113" s="92">
        <v>58</v>
      </c>
      <c r="B113" s="43">
        <v>414</v>
      </c>
      <c r="C113" s="43" t="s">
        <v>184</v>
      </c>
      <c r="D113" s="155">
        <f t="shared" si="49"/>
        <v>0.61019096844396081</v>
      </c>
      <c r="E113" s="44">
        <v>520</v>
      </c>
      <c r="F113" s="71">
        <f t="shared" si="50"/>
        <v>4.9901636197879178E-3</v>
      </c>
      <c r="H113" s="72">
        <f t="shared" si="28"/>
        <v>3807.5916430903153</v>
      </c>
      <c r="J113" s="73">
        <f t="shared" si="51"/>
        <v>430.46357615894044</v>
      </c>
      <c r="K113" s="74">
        <f t="shared" si="52"/>
        <v>290.10000000000002</v>
      </c>
      <c r="L113" s="64"/>
      <c r="M113" s="72">
        <f t="shared" si="53"/>
        <v>4528.1552192492563</v>
      </c>
      <c r="N113" s="75">
        <f t="shared" si="54"/>
        <v>1132.0388048123141</v>
      </c>
      <c r="P113" s="72">
        <f t="shared" si="55"/>
        <v>0</v>
      </c>
      <c r="R113" s="72">
        <f t="shared" si="56"/>
        <v>4528.1552192492563</v>
      </c>
      <c r="T113" s="72">
        <f t="shared" si="57"/>
        <v>0</v>
      </c>
      <c r="U113" s="72">
        <f t="shared" si="30"/>
        <v>0</v>
      </c>
    </row>
    <row r="114" spans="1:21" x14ac:dyDescent="0.25">
      <c r="A114" s="92">
        <v>59</v>
      </c>
      <c r="B114" s="43">
        <v>415</v>
      </c>
      <c r="C114" s="43" t="s">
        <v>180</v>
      </c>
      <c r="D114" s="155">
        <f t="shared" si="49"/>
        <v>0.61019096844396081</v>
      </c>
      <c r="E114" s="44">
        <v>520</v>
      </c>
      <c r="F114" s="71">
        <f t="shared" si="50"/>
        <v>4.9901636197879178E-3</v>
      </c>
      <c r="H114" s="72">
        <f t="shared" si="28"/>
        <v>3807.5916430903153</v>
      </c>
      <c r="J114" s="73">
        <f t="shared" si="51"/>
        <v>430.46357615894044</v>
      </c>
      <c r="K114" s="74">
        <f t="shared" si="52"/>
        <v>290.10000000000002</v>
      </c>
      <c r="L114" s="64"/>
      <c r="M114" s="72">
        <f t="shared" si="53"/>
        <v>4528.1552192492563</v>
      </c>
      <c r="N114" s="75">
        <f t="shared" si="54"/>
        <v>1132.0388048123141</v>
      </c>
      <c r="P114" s="72">
        <f t="shared" si="55"/>
        <v>0</v>
      </c>
      <c r="R114" s="72">
        <f t="shared" si="56"/>
        <v>4528.1552192492563</v>
      </c>
      <c r="T114" s="72">
        <f t="shared" si="57"/>
        <v>0</v>
      </c>
      <c r="U114" s="72">
        <f t="shared" si="30"/>
        <v>0</v>
      </c>
    </row>
    <row r="115" spans="1:21" x14ac:dyDescent="0.25">
      <c r="A115" s="92">
        <v>60</v>
      </c>
      <c r="B115" s="43">
        <v>416</v>
      </c>
      <c r="C115" s="43" t="s">
        <v>181</v>
      </c>
      <c r="D115" s="155">
        <f t="shared" si="49"/>
        <v>0.61019096844396081</v>
      </c>
      <c r="E115" s="44">
        <v>520</v>
      </c>
      <c r="F115" s="71">
        <f t="shared" si="50"/>
        <v>4.9901636197879178E-3</v>
      </c>
      <c r="H115" s="72">
        <f t="shared" si="28"/>
        <v>3807.5916430903153</v>
      </c>
      <c r="J115" s="73">
        <f t="shared" si="51"/>
        <v>430.46357615894044</v>
      </c>
      <c r="K115" s="74">
        <f t="shared" si="52"/>
        <v>290.10000000000002</v>
      </c>
      <c r="L115" s="64"/>
      <c r="M115" s="72">
        <f t="shared" si="53"/>
        <v>4528.1552192492563</v>
      </c>
      <c r="N115" s="75">
        <f t="shared" si="54"/>
        <v>1132.0388048123141</v>
      </c>
      <c r="P115" s="72">
        <f t="shared" si="55"/>
        <v>0</v>
      </c>
      <c r="R115" s="72">
        <f t="shared" si="56"/>
        <v>4528.1552192492563</v>
      </c>
      <c r="T115" s="72">
        <f t="shared" si="57"/>
        <v>0</v>
      </c>
      <c r="U115" s="72">
        <f t="shared" si="30"/>
        <v>0</v>
      </c>
    </row>
    <row r="116" spans="1:21" x14ac:dyDescent="0.25">
      <c r="A116" s="92">
        <v>61</v>
      </c>
      <c r="B116" s="43">
        <v>417</v>
      </c>
      <c r="C116" s="43" t="s">
        <v>151</v>
      </c>
      <c r="D116" s="155">
        <f t="shared" si="49"/>
        <v>0.61019096844396081</v>
      </c>
      <c r="E116" s="44">
        <v>520</v>
      </c>
      <c r="F116" s="71">
        <f t="shared" si="50"/>
        <v>4.9901636197879178E-3</v>
      </c>
      <c r="H116" s="72">
        <f t="shared" si="28"/>
        <v>3807.5916430903153</v>
      </c>
      <c r="J116" s="73">
        <f t="shared" si="51"/>
        <v>430.46357615894044</v>
      </c>
      <c r="K116" s="74">
        <f t="shared" si="52"/>
        <v>290.10000000000002</v>
      </c>
      <c r="L116" s="64"/>
      <c r="M116" s="72">
        <f t="shared" si="53"/>
        <v>4528.1552192492563</v>
      </c>
      <c r="N116" s="75">
        <f t="shared" si="54"/>
        <v>1132.0388048123141</v>
      </c>
      <c r="P116" s="72">
        <f t="shared" si="55"/>
        <v>0</v>
      </c>
      <c r="R116" s="72">
        <f t="shared" si="56"/>
        <v>4528.1552192492563</v>
      </c>
      <c r="T116" s="72">
        <f t="shared" si="57"/>
        <v>0</v>
      </c>
      <c r="U116" s="72">
        <f t="shared" si="30"/>
        <v>0</v>
      </c>
    </row>
    <row r="117" spans="1:21" x14ac:dyDescent="0.25">
      <c r="A117" s="92">
        <v>62</v>
      </c>
      <c r="B117" s="43">
        <v>418</v>
      </c>
      <c r="C117" s="43" t="s">
        <v>175</v>
      </c>
      <c r="D117" s="155">
        <f t="shared" si="49"/>
        <v>0.61019096844396081</v>
      </c>
      <c r="E117" s="44">
        <v>492</v>
      </c>
      <c r="F117" s="71">
        <f t="shared" si="50"/>
        <v>4.7214625017993382E-3</v>
      </c>
      <c r="H117" s="72">
        <f t="shared" si="28"/>
        <v>3602.5674776931446</v>
      </c>
      <c r="J117" s="73">
        <f t="shared" si="51"/>
        <v>407.28476821192055</v>
      </c>
      <c r="K117" s="74">
        <f t="shared" si="52"/>
        <v>290.10000000000002</v>
      </c>
      <c r="L117" s="64"/>
      <c r="M117" s="72">
        <f t="shared" si="53"/>
        <v>4299.952245905065</v>
      </c>
      <c r="N117" s="75">
        <f t="shared" si="54"/>
        <v>1074.9880614762662</v>
      </c>
      <c r="P117" s="72">
        <f t="shared" si="55"/>
        <v>0</v>
      </c>
      <c r="R117" s="72">
        <f t="shared" si="56"/>
        <v>4299.952245905065</v>
      </c>
      <c r="T117" s="72">
        <f t="shared" si="57"/>
        <v>0</v>
      </c>
      <c r="U117" s="72">
        <f t="shared" si="30"/>
        <v>0</v>
      </c>
    </row>
    <row r="118" spans="1:21" x14ac:dyDescent="0.25">
      <c r="A118" s="92">
        <v>63</v>
      </c>
      <c r="B118" s="43">
        <v>419</v>
      </c>
      <c r="C118" s="43" t="s">
        <v>149</v>
      </c>
      <c r="D118" s="155">
        <f t="shared" si="49"/>
        <v>0.61019096844396081</v>
      </c>
      <c r="E118" s="44">
        <v>492</v>
      </c>
      <c r="F118" s="71">
        <f t="shared" si="50"/>
        <v>4.7214625017993382E-3</v>
      </c>
      <c r="H118" s="72">
        <f>+D118*E118*12</f>
        <v>3602.5674776931446</v>
      </c>
      <c r="J118" s="73">
        <f t="shared" si="51"/>
        <v>407.28476821192055</v>
      </c>
      <c r="K118" s="74">
        <f t="shared" si="52"/>
        <v>290.10000000000002</v>
      </c>
      <c r="L118" s="64"/>
      <c r="M118" s="72">
        <f t="shared" si="53"/>
        <v>4299.952245905065</v>
      </c>
      <c r="N118" s="75">
        <f t="shared" si="54"/>
        <v>1074.9880614762662</v>
      </c>
      <c r="P118" s="72">
        <f t="shared" si="55"/>
        <v>0</v>
      </c>
      <c r="R118" s="72">
        <f t="shared" si="56"/>
        <v>4299.952245905065</v>
      </c>
      <c r="T118" s="72">
        <f t="shared" si="57"/>
        <v>0</v>
      </c>
      <c r="U118" s="72">
        <f t="shared" ref="U118:U126" si="58">(+$E118/$E$128)*$U$134</f>
        <v>0</v>
      </c>
    </row>
    <row r="119" spans="1:21" x14ac:dyDescent="0.25">
      <c r="A119" s="42"/>
      <c r="B119" s="43"/>
      <c r="C119" s="43"/>
      <c r="D119" s="155"/>
      <c r="E119" s="44"/>
      <c r="F119" s="71"/>
      <c r="H119" s="72"/>
      <c r="J119" s="73"/>
      <c r="K119" s="74"/>
      <c r="L119" s="64"/>
      <c r="M119" s="72"/>
      <c r="N119" s="77"/>
      <c r="P119" s="72"/>
      <c r="R119" s="72"/>
      <c r="T119" s="72"/>
      <c r="U119" s="72"/>
    </row>
    <row r="120" spans="1:21" x14ac:dyDescent="0.25">
      <c r="A120" s="92">
        <v>64</v>
      </c>
      <c r="B120" s="43">
        <v>501</v>
      </c>
      <c r="C120" s="43" t="s">
        <v>149</v>
      </c>
      <c r="D120" s="155">
        <f t="shared" ref="D120:D126" si="59">0.59*(1+$Y$5)</f>
        <v>0.61019096844396081</v>
      </c>
      <c r="E120" s="44">
        <v>900</v>
      </c>
      <c r="F120" s="71">
        <f t="shared" ref="F120:F126" si="60">E120/$E$130</f>
        <v>8.6368216496329354E-3</v>
      </c>
      <c r="H120" s="72">
        <f t="shared" ref="H120:H126" si="61">+D120*E120*12</f>
        <v>6590.0624591947762</v>
      </c>
      <c r="J120" s="73">
        <f t="shared" ref="J120:J126" si="62">+E120*$Y$61*12</f>
        <v>745.03311258278154</v>
      </c>
      <c r="K120" s="74">
        <f t="shared" ref="K120:K126" si="63">250*1.1604</f>
        <v>290.10000000000002</v>
      </c>
      <c r="L120" s="64"/>
      <c r="M120" s="72">
        <f t="shared" ref="M120:M126" si="64">+H120+J120+K120</f>
        <v>7625.1955717775581</v>
      </c>
      <c r="N120" s="75">
        <f t="shared" ref="N120:N126" si="65">+M120/4</f>
        <v>1906.2988929443895</v>
      </c>
      <c r="P120" s="72">
        <f t="shared" ref="P120:P126" si="66">+T120+U120</f>
        <v>0</v>
      </c>
      <c r="R120" s="72">
        <f t="shared" ref="R120:R126" si="67">+M120+P120</f>
        <v>7625.1955717775581</v>
      </c>
      <c r="T120" s="72">
        <f t="shared" ref="T120:T126" si="68">+$F120*$T$134</f>
        <v>0</v>
      </c>
      <c r="U120" s="72">
        <f t="shared" si="58"/>
        <v>0</v>
      </c>
    </row>
    <row r="121" spans="1:21" x14ac:dyDescent="0.25">
      <c r="A121" s="92">
        <v>65</v>
      </c>
      <c r="B121" s="43">
        <v>502</v>
      </c>
      <c r="C121" s="43" t="s">
        <v>149</v>
      </c>
      <c r="D121" s="155">
        <f t="shared" si="59"/>
        <v>0.61019096844396081</v>
      </c>
      <c r="E121" s="44">
        <v>515</v>
      </c>
      <c r="F121" s="71">
        <f t="shared" si="60"/>
        <v>4.942181277289957E-3</v>
      </c>
      <c r="H121" s="72">
        <f t="shared" si="61"/>
        <v>3770.9801849836781</v>
      </c>
      <c r="J121" s="73">
        <f t="shared" si="62"/>
        <v>426.32450331125835</v>
      </c>
      <c r="K121" s="74">
        <f t="shared" si="63"/>
        <v>290.10000000000002</v>
      </c>
      <c r="L121" s="64"/>
      <c r="M121" s="72">
        <f t="shared" si="64"/>
        <v>4487.4046882949369</v>
      </c>
      <c r="N121" s="75">
        <f t="shared" si="65"/>
        <v>1121.8511720737342</v>
      </c>
      <c r="P121" s="72">
        <f t="shared" si="66"/>
        <v>0</v>
      </c>
      <c r="R121" s="72">
        <f t="shared" si="67"/>
        <v>4487.4046882949369</v>
      </c>
      <c r="T121" s="72">
        <f t="shared" si="68"/>
        <v>0</v>
      </c>
      <c r="U121" s="72">
        <f t="shared" si="58"/>
        <v>0</v>
      </c>
    </row>
    <row r="122" spans="1:21" x14ac:dyDescent="0.25">
      <c r="A122" s="92">
        <v>66</v>
      </c>
      <c r="B122" s="43">
        <v>503</v>
      </c>
      <c r="C122" s="43" t="s">
        <v>185</v>
      </c>
      <c r="D122" s="155">
        <f t="shared" si="59"/>
        <v>0.61019096844396081</v>
      </c>
      <c r="E122" s="44">
        <v>515</v>
      </c>
      <c r="F122" s="71">
        <f t="shared" si="60"/>
        <v>4.942181277289957E-3</v>
      </c>
      <c r="H122" s="72">
        <f t="shared" si="61"/>
        <v>3770.9801849836781</v>
      </c>
      <c r="J122" s="73">
        <f t="shared" si="62"/>
        <v>426.32450331125835</v>
      </c>
      <c r="K122" s="74">
        <f t="shared" si="63"/>
        <v>290.10000000000002</v>
      </c>
      <c r="L122" s="64"/>
      <c r="M122" s="72">
        <f t="shared" si="64"/>
        <v>4487.4046882949369</v>
      </c>
      <c r="N122" s="75">
        <f t="shared" si="65"/>
        <v>1121.8511720737342</v>
      </c>
      <c r="P122" s="72">
        <f t="shared" si="66"/>
        <v>0</v>
      </c>
      <c r="R122" s="72">
        <f t="shared" si="67"/>
        <v>4487.4046882949369</v>
      </c>
      <c r="T122" s="72">
        <f t="shared" si="68"/>
        <v>0</v>
      </c>
      <c r="U122" s="72">
        <f t="shared" si="58"/>
        <v>0</v>
      </c>
    </row>
    <row r="123" spans="1:21" x14ac:dyDescent="0.25">
      <c r="A123" s="92">
        <v>67</v>
      </c>
      <c r="B123" s="43">
        <v>504</v>
      </c>
      <c r="C123" s="43" t="s">
        <v>185</v>
      </c>
      <c r="D123" s="155">
        <f t="shared" si="59"/>
        <v>0.61019096844396081</v>
      </c>
      <c r="E123" s="44">
        <v>515</v>
      </c>
      <c r="F123" s="71">
        <f t="shared" si="60"/>
        <v>4.942181277289957E-3</v>
      </c>
      <c r="H123" s="72">
        <f t="shared" si="61"/>
        <v>3770.9801849836781</v>
      </c>
      <c r="J123" s="73">
        <f t="shared" si="62"/>
        <v>426.32450331125835</v>
      </c>
      <c r="K123" s="74">
        <f t="shared" si="63"/>
        <v>290.10000000000002</v>
      </c>
      <c r="L123" s="64"/>
      <c r="M123" s="72">
        <f t="shared" si="64"/>
        <v>4487.4046882949369</v>
      </c>
      <c r="N123" s="75">
        <f t="shared" si="65"/>
        <v>1121.8511720737342</v>
      </c>
      <c r="P123" s="72">
        <f t="shared" si="66"/>
        <v>0</v>
      </c>
      <c r="R123" s="72">
        <f t="shared" si="67"/>
        <v>4487.4046882949369</v>
      </c>
      <c r="T123" s="72">
        <f t="shared" si="68"/>
        <v>0</v>
      </c>
      <c r="U123" s="72">
        <f t="shared" si="58"/>
        <v>0</v>
      </c>
    </row>
    <row r="124" spans="1:21" x14ac:dyDescent="0.25">
      <c r="A124" s="92">
        <v>68</v>
      </c>
      <c r="B124" s="43">
        <v>505</v>
      </c>
      <c r="C124" s="43" t="s">
        <v>149</v>
      </c>
      <c r="D124" s="155">
        <f t="shared" si="59"/>
        <v>0.61019096844396081</v>
      </c>
      <c r="E124" s="44">
        <v>515</v>
      </c>
      <c r="F124" s="71">
        <f t="shared" si="60"/>
        <v>4.942181277289957E-3</v>
      </c>
      <c r="H124" s="72">
        <f t="shared" si="61"/>
        <v>3770.9801849836781</v>
      </c>
      <c r="J124" s="73">
        <f t="shared" si="62"/>
        <v>426.32450331125835</v>
      </c>
      <c r="K124" s="74">
        <f t="shared" si="63"/>
        <v>290.10000000000002</v>
      </c>
      <c r="L124" s="64"/>
      <c r="M124" s="72">
        <f t="shared" si="64"/>
        <v>4487.4046882949369</v>
      </c>
      <c r="N124" s="75">
        <f t="shared" si="65"/>
        <v>1121.8511720737342</v>
      </c>
      <c r="P124" s="72">
        <f t="shared" si="66"/>
        <v>0</v>
      </c>
      <c r="R124" s="72">
        <f t="shared" si="67"/>
        <v>4487.4046882949369</v>
      </c>
      <c r="T124" s="72">
        <f t="shared" si="68"/>
        <v>0</v>
      </c>
      <c r="U124" s="72">
        <f t="shared" si="58"/>
        <v>0</v>
      </c>
    </row>
    <row r="125" spans="1:21" x14ac:dyDescent="0.25">
      <c r="A125" s="92">
        <v>69</v>
      </c>
      <c r="B125" s="43">
        <v>507</v>
      </c>
      <c r="C125" s="43" t="s">
        <v>149</v>
      </c>
      <c r="D125" s="155">
        <f t="shared" si="59"/>
        <v>0.61019096844396081</v>
      </c>
      <c r="E125" s="44">
        <v>570</v>
      </c>
      <c r="F125" s="71">
        <f t="shared" si="60"/>
        <v>5.4699870447675256E-3</v>
      </c>
      <c r="H125" s="72">
        <f t="shared" si="61"/>
        <v>4173.7062241566919</v>
      </c>
      <c r="J125" s="73">
        <f t="shared" si="62"/>
        <v>471.85430463576165</v>
      </c>
      <c r="K125" s="74">
        <f t="shared" si="63"/>
        <v>290.10000000000002</v>
      </c>
      <c r="L125" s="64"/>
      <c r="M125" s="72">
        <f t="shared" si="64"/>
        <v>4935.660528792454</v>
      </c>
      <c r="N125" s="75">
        <f t="shared" si="65"/>
        <v>1233.9151321981135</v>
      </c>
      <c r="P125" s="72">
        <f t="shared" si="66"/>
        <v>0</v>
      </c>
      <c r="R125" s="72">
        <f t="shared" si="67"/>
        <v>4935.660528792454</v>
      </c>
      <c r="T125" s="72">
        <f t="shared" si="68"/>
        <v>0</v>
      </c>
      <c r="U125" s="72">
        <f t="shared" si="58"/>
        <v>0</v>
      </c>
    </row>
    <row r="126" spans="1:21" x14ac:dyDescent="0.25">
      <c r="A126" s="92">
        <v>70</v>
      </c>
      <c r="B126" s="43">
        <v>508</v>
      </c>
      <c r="C126" s="43" t="s">
        <v>149</v>
      </c>
      <c r="D126" s="155">
        <f t="shared" si="59"/>
        <v>0.61019096844396081</v>
      </c>
      <c r="E126" s="44">
        <v>570</v>
      </c>
      <c r="F126" s="71">
        <f t="shared" si="60"/>
        <v>5.4699870447675256E-3</v>
      </c>
      <c r="H126" s="72">
        <f t="shared" si="61"/>
        <v>4173.7062241566919</v>
      </c>
      <c r="J126" s="73">
        <f t="shared" si="62"/>
        <v>471.85430463576165</v>
      </c>
      <c r="K126" s="74">
        <f t="shared" si="63"/>
        <v>290.10000000000002</v>
      </c>
      <c r="L126" s="64"/>
      <c r="M126" s="72">
        <f t="shared" si="64"/>
        <v>4935.660528792454</v>
      </c>
      <c r="N126" s="75">
        <f t="shared" si="65"/>
        <v>1233.9151321981135</v>
      </c>
      <c r="P126" s="72">
        <f t="shared" si="66"/>
        <v>0</v>
      </c>
      <c r="R126" s="72">
        <f t="shared" si="67"/>
        <v>4935.660528792454</v>
      </c>
      <c r="T126" s="72">
        <f t="shared" si="68"/>
        <v>0</v>
      </c>
      <c r="U126" s="72">
        <f t="shared" si="58"/>
        <v>0</v>
      </c>
    </row>
    <row r="127" spans="1:21" x14ac:dyDescent="0.25">
      <c r="A127" s="42"/>
      <c r="B127" s="43"/>
      <c r="C127" s="43"/>
      <c r="D127" s="155"/>
      <c r="E127" s="44"/>
      <c r="F127" s="71"/>
      <c r="H127" s="72"/>
      <c r="J127" s="73"/>
      <c r="K127" s="76"/>
      <c r="L127" s="64"/>
      <c r="M127" s="72"/>
      <c r="N127" s="77"/>
      <c r="P127" s="72"/>
      <c r="R127" s="72"/>
      <c r="T127" s="72"/>
      <c r="U127" s="72"/>
    </row>
    <row r="128" spans="1:21" s="52" customFormat="1" ht="13.5" thickBot="1" x14ac:dyDescent="0.25">
      <c r="A128" s="78" t="s">
        <v>128</v>
      </c>
      <c r="B128" s="79"/>
      <c r="C128" s="79"/>
      <c r="D128" s="161"/>
      <c r="E128" s="80">
        <f>SUM(E53:E126)</f>
        <v>37564</v>
      </c>
      <c r="F128" s="81">
        <f>+E128/E130</f>
        <v>0.3604817427186795</v>
      </c>
      <c r="H128" s="82">
        <f>SUM(H53:H127)</f>
        <v>275054.5624635471</v>
      </c>
      <c r="I128" s="83"/>
      <c r="J128" s="84">
        <f>SUM(J53:J127)</f>
        <v>31096.026490066237</v>
      </c>
      <c r="K128" s="85">
        <f>SUM(K53:K127)</f>
        <v>20306.999999999993</v>
      </c>
      <c r="L128" s="86"/>
      <c r="M128" s="82">
        <f>SUM(M53:M127)</f>
        <v>326457.58895361354</v>
      </c>
      <c r="N128" s="87">
        <f>SUM(N53:N127)</f>
        <v>81614.397238403384</v>
      </c>
      <c r="P128" s="82">
        <f>SUM(P53:P127)</f>
        <v>0</v>
      </c>
      <c r="R128" s="82">
        <f>SUM(R53:R127)</f>
        <v>326457.58895361354</v>
      </c>
      <c r="T128" s="82">
        <f>SUM(T53:T127)</f>
        <v>0</v>
      </c>
      <c r="U128" s="82">
        <f>SUM(U53:U127)</f>
        <v>0</v>
      </c>
    </row>
    <row r="129" spans="1:21" ht="15.75" thickTop="1" x14ac:dyDescent="0.25">
      <c r="A129" s="95"/>
      <c r="B129" s="96"/>
      <c r="C129" s="96"/>
      <c r="D129" s="162"/>
      <c r="E129" s="97"/>
      <c r="F129" s="98"/>
      <c r="H129" s="99"/>
      <c r="J129" s="100"/>
      <c r="K129" s="101"/>
      <c r="L129" s="64"/>
      <c r="M129" s="99"/>
      <c r="N129" s="102"/>
      <c r="P129" s="99"/>
      <c r="R129" s="99"/>
      <c r="T129" s="99"/>
      <c r="U129" s="99"/>
    </row>
    <row r="130" spans="1:21" s="52" customFormat="1" ht="13.5" thickBot="1" x14ac:dyDescent="0.25">
      <c r="A130" s="103" t="s">
        <v>186</v>
      </c>
      <c r="B130" s="104"/>
      <c r="C130" s="104"/>
      <c r="D130" s="163"/>
      <c r="E130" s="105">
        <f>+E21+E42+E128+E48</f>
        <v>104205</v>
      </c>
      <c r="F130" s="106">
        <f>+E130/$E$130</f>
        <v>1</v>
      </c>
      <c r="H130" s="66">
        <f>+H50+H128</f>
        <v>746840.50333693565</v>
      </c>
      <c r="I130" s="83"/>
      <c r="J130" s="107">
        <f>+J50+J128</f>
        <v>31478.476821192064</v>
      </c>
      <c r="K130" s="58">
        <f>+K50+K128</f>
        <v>29677.299999999996</v>
      </c>
      <c r="L130" s="86"/>
      <c r="M130" s="66">
        <f>+M50+M128</f>
        <v>807996.28015812789</v>
      </c>
      <c r="N130" s="108">
        <f>+N50+N128</f>
        <v>201999.07003953197</v>
      </c>
      <c r="P130" s="66">
        <f>+P50+P128</f>
        <v>0</v>
      </c>
      <c r="R130" s="66">
        <f>+R50+R128</f>
        <v>807996.28015812789</v>
      </c>
      <c r="T130" s="66">
        <f>+T50+T128</f>
        <v>0</v>
      </c>
      <c r="U130" s="66">
        <f>+U50+U128</f>
        <v>0</v>
      </c>
    </row>
    <row r="131" spans="1:21" x14ac:dyDescent="0.25">
      <c r="A131" s="42"/>
      <c r="B131" s="43"/>
      <c r="C131" s="43"/>
      <c r="D131" s="155"/>
      <c r="E131" s="44"/>
      <c r="F131" s="71"/>
      <c r="H131" s="109"/>
      <c r="J131" s="110"/>
      <c r="K131" s="111"/>
      <c r="L131" s="64"/>
      <c r="M131" s="109"/>
      <c r="N131" s="112"/>
      <c r="P131" s="109"/>
      <c r="R131" s="109"/>
      <c r="T131" s="109"/>
      <c r="U131" s="109"/>
    </row>
    <row r="132" spans="1:21" x14ac:dyDescent="0.25">
      <c r="A132" s="113" t="s">
        <v>18</v>
      </c>
      <c r="B132" s="114"/>
      <c r="C132" s="114"/>
      <c r="D132" s="164"/>
      <c r="E132" s="115">
        <v>7685</v>
      </c>
      <c r="F132" s="116"/>
      <c r="G132" s="52"/>
      <c r="H132" s="117">
        <v>0</v>
      </c>
      <c r="J132" s="118">
        <f>7685*$Y$61*12</f>
        <v>6361.7549668874171</v>
      </c>
      <c r="K132" s="154">
        <f>6000*1.1604</f>
        <v>6962.4000000000005</v>
      </c>
      <c r="L132" s="64"/>
      <c r="M132" s="119">
        <f>+J132+K132</f>
        <v>13324.154966887418</v>
      </c>
      <c r="N132" s="120">
        <f>+M132/4</f>
        <v>3331.0387417218544</v>
      </c>
      <c r="P132" s="117">
        <v>0</v>
      </c>
      <c r="R132" s="117">
        <f>+M132+P132</f>
        <v>13324.154966887418</v>
      </c>
      <c r="T132" s="117">
        <v>0</v>
      </c>
      <c r="U132" s="117">
        <v>0</v>
      </c>
    </row>
    <row r="133" spans="1:21" x14ac:dyDescent="0.25">
      <c r="A133" s="121"/>
      <c r="B133" s="122"/>
      <c r="C133" s="122"/>
      <c r="D133" s="165"/>
      <c r="E133" s="123"/>
      <c r="F133" s="124"/>
      <c r="H133" s="125"/>
      <c r="J133" s="69"/>
      <c r="K133" s="31"/>
      <c r="L133" s="64"/>
      <c r="M133" s="64"/>
      <c r="N133" s="70"/>
      <c r="P133" s="125"/>
      <c r="R133" s="125"/>
      <c r="T133" s="125"/>
      <c r="U133" s="125"/>
    </row>
    <row r="134" spans="1:21" ht="15.75" thickBot="1" x14ac:dyDescent="0.3">
      <c r="A134" s="103" t="s">
        <v>187</v>
      </c>
      <c r="B134" s="104"/>
      <c r="C134" s="104"/>
      <c r="D134" s="163"/>
      <c r="E134" s="105">
        <f>+E130+E132</f>
        <v>111890</v>
      </c>
      <c r="F134" s="106"/>
      <c r="G134" s="52"/>
      <c r="H134" s="126">
        <f>H130+H132</f>
        <v>746840.50333693565</v>
      </c>
      <c r="J134" s="127">
        <f>+J130+J132</f>
        <v>37840.23178807948</v>
      </c>
      <c r="K134" s="128">
        <f>+K130+K132</f>
        <v>36639.699999999997</v>
      </c>
      <c r="L134" s="64"/>
      <c r="M134" s="129">
        <f>+M130+M132</f>
        <v>821320.43512501533</v>
      </c>
      <c r="N134" s="130">
        <f>+N130+N132</f>
        <v>205330.10878125383</v>
      </c>
      <c r="P134" s="129">
        <f>+P130+P132</f>
        <v>0</v>
      </c>
      <c r="R134" s="129">
        <f>+R130+R132</f>
        <v>821320.43512501533</v>
      </c>
      <c r="T134" s="126">
        <v>0</v>
      </c>
      <c r="U134" s="126">
        <v>0</v>
      </c>
    </row>
    <row r="135" spans="1:21" x14ac:dyDescent="0.25">
      <c r="H135" s="132"/>
      <c r="J135" s="37"/>
      <c r="K135" s="37"/>
      <c r="M135" s="37"/>
      <c r="N135" s="37"/>
    </row>
    <row r="138" spans="1:21" x14ac:dyDescent="0.25">
      <c r="R138" s="133"/>
    </row>
    <row r="139" spans="1:21" x14ac:dyDescent="0.25">
      <c r="H139" s="134"/>
    </row>
  </sheetData>
  <pageMargins left="0.7" right="0.7" top="0.75" bottom="0.75" header="0.3" footer="0.3"/>
  <pageSetup scale="63" fitToHeight="0" orientation="landscape" r:id="rId1"/>
  <rowBreaks count="2" manualBreakCount="2">
    <brk id="51" max="17" man="1"/>
    <brk id="96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H5"/>
  <sheetViews>
    <sheetView workbookViewId="0">
      <selection activeCell="J8" sqref="J8"/>
    </sheetView>
  </sheetViews>
  <sheetFormatPr defaultRowHeight="15" x14ac:dyDescent="0.25"/>
  <cols>
    <col min="2" max="2" width="7.140625" customWidth="1"/>
    <col min="3" max="5" width="9.140625" hidden="1" customWidth="1"/>
    <col min="7" max="7" width="2.7109375" customWidth="1"/>
    <col min="9" max="9" width="2.7109375" customWidth="1"/>
    <col min="11" max="11" width="2.7109375" customWidth="1"/>
    <col min="13" max="13" width="2.7109375" customWidth="1"/>
    <col min="15" max="15" width="2.7109375" customWidth="1"/>
    <col min="17" max="17" width="2.7109375" customWidth="1"/>
    <col min="19" max="19" width="2.7109375" customWidth="1"/>
    <col min="21" max="21" width="2.7109375" customWidth="1"/>
    <col min="23" max="23" width="2.7109375" customWidth="1"/>
    <col min="25" max="25" width="2.7109375" customWidth="1"/>
    <col min="27" max="27" width="2.7109375" customWidth="1"/>
    <col min="29" max="29" width="2.7109375" customWidth="1"/>
    <col min="31" max="31" width="2.7109375" customWidth="1"/>
  </cols>
  <sheetData>
    <row r="1" spans="6:34" x14ac:dyDescent="0.25">
      <c r="H1" t="s">
        <v>188</v>
      </c>
      <c r="J1" t="s">
        <v>189</v>
      </c>
      <c r="L1" t="s">
        <v>190</v>
      </c>
      <c r="N1" t="s">
        <v>191</v>
      </c>
      <c r="P1" t="s">
        <v>192</v>
      </c>
      <c r="R1" t="s">
        <v>193</v>
      </c>
      <c r="T1" t="s">
        <v>194</v>
      </c>
      <c r="V1" t="s">
        <v>195</v>
      </c>
      <c r="X1" t="s">
        <v>196</v>
      </c>
      <c r="Z1" t="s">
        <v>197</v>
      </c>
      <c r="AB1" t="s">
        <v>198</v>
      </c>
      <c r="AD1" t="s">
        <v>199</v>
      </c>
    </row>
    <row r="3" spans="6:34" x14ac:dyDescent="0.25">
      <c r="F3" s="2" t="s">
        <v>75</v>
      </c>
      <c r="G3" s="2"/>
      <c r="H3" s="143">
        <v>7200</v>
      </c>
      <c r="I3" s="6"/>
      <c r="J3" s="135">
        <v>6896.22</v>
      </c>
      <c r="K3" s="6"/>
      <c r="L3" s="135">
        <v>6294.81</v>
      </c>
      <c r="M3" s="6"/>
      <c r="N3" s="135">
        <v>6347.32</v>
      </c>
      <c r="O3" s="6"/>
      <c r="P3" s="135">
        <v>4386.92</v>
      </c>
      <c r="Q3" s="6"/>
      <c r="R3" s="135">
        <v>5193.3100000000004</v>
      </c>
      <c r="S3" s="6"/>
      <c r="T3" s="135">
        <v>7792.1</v>
      </c>
      <c r="U3" s="6"/>
      <c r="V3" s="135">
        <v>6679.92</v>
      </c>
      <c r="W3" s="6"/>
      <c r="X3" s="135">
        <v>5576.75</v>
      </c>
      <c r="Y3" s="6"/>
      <c r="Z3" s="135">
        <v>4720.67</v>
      </c>
      <c r="AA3" s="6"/>
      <c r="AB3" s="135">
        <v>4533.75</v>
      </c>
      <c r="AC3" s="6"/>
      <c r="AD3" s="144">
        <v>7200</v>
      </c>
      <c r="AE3" s="6"/>
      <c r="AF3" s="135">
        <f t="shared" ref="AF3:AF5" si="0">ROUND(SUM(H3:AD3),5)</f>
        <v>72821.77</v>
      </c>
      <c r="AH3">
        <v>75000</v>
      </c>
    </row>
    <row r="4" spans="6:34" x14ac:dyDescent="0.25">
      <c r="F4" s="2" t="s">
        <v>76</v>
      </c>
      <c r="G4" s="2"/>
      <c r="H4" s="135">
        <v>11993.15</v>
      </c>
      <c r="I4" s="6"/>
      <c r="J4" s="135">
        <v>11603.73</v>
      </c>
      <c r="K4" s="6"/>
      <c r="L4" s="135">
        <v>9087.98</v>
      </c>
      <c r="M4" s="6"/>
      <c r="N4" s="135">
        <v>6835.68</v>
      </c>
      <c r="O4" s="6"/>
      <c r="P4" s="135">
        <v>5655.1</v>
      </c>
      <c r="Q4" s="6"/>
      <c r="R4" s="135">
        <v>4925.41</v>
      </c>
      <c r="S4" s="6"/>
      <c r="T4" s="135">
        <v>4954.0200000000004</v>
      </c>
      <c r="U4" s="6"/>
      <c r="V4" s="135">
        <v>4312.67</v>
      </c>
      <c r="W4" s="6"/>
      <c r="X4" s="135">
        <v>4578.72</v>
      </c>
      <c r="Y4" s="6"/>
      <c r="Z4" s="135">
        <v>5980.04</v>
      </c>
      <c r="AA4" s="6"/>
      <c r="AB4" s="135">
        <v>9361.14</v>
      </c>
      <c r="AC4" s="6"/>
      <c r="AD4" s="144">
        <v>12000</v>
      </c>
      <c r="AE4" s="6"/>
      <c r="AF4" s="135">
        <f t="shared" si="0"/>
        <v>91287.64</v>
      </c>
      <c r="AH4">
        <v>92000</v>
      </c>
    </row>
    <row r="5" spans="6:34" x14ac:dyDescent="0.25">
      <c r="F5" s="2" t="s">
        <v>77</v>
      </c>
      <c r="G5" s="2"/>
      <c r="H5" s="136">
        <v>7426.04</v>
      </c>
      <c r="I5" s="6"/>
      <c r="J5" s="136">
        <v>6334.3</v>
      </c>
      <c r="K5" s="6"/>
      <c r="L5" s="136">
        <v>7944.74</v>
      </c>
      <c r="M5" s="6"/>
      <c r="N5" s="136">
        <v>5992.11</v>
      </c>
      <c r="O5" s="6"/>
      <c r="P5" s="136">
        <v>5758.86</v>
      </c>
      <c r="Q5" s="6"/>
      <c r="R5" s="136">
        <v>6660.76</v>
      </c>
      <c r="S5" s="6"/>
      <c r="T5" s="136">
        <v>6769.61</v>
      </c>
      <c r="U5" s="6"/>
      <c r="V5" s="136">
        <v>6800.71</v>
      </c>
      <c r="W5" s="6"/>
      <c r="X5" s="136">
        <v>6365.31</v>
      </c>
      <c r="Y5" s="6"/>
      <c r="Z5" s="136">
        <v>5789.96</v>
      </c>
      <c r="AA5" s="6"/>
      <c r="AB5" s="136">
        <v>7108.6</v>
      </c>
      <c r="AC5" s="6"/>
      <c r="AD5" s="145">
        <v>7000</v>
      </c>
      <c r="AE5" s="6"/>
      <c r="AF5" s="136">
        <f t="shared" si="0"/>
        <v>79951</v>
      </c>
      <c r="AH5">
        <v>82500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5"/>
  <sheetViews>
    <sheetView workbookViewId="0">
      <pane xSplit="7" ySplit="1" topLeftCell="H87" activePane="bottomRight" state="frozenSplit"/>
      <selection pane="topRight" activeCell="H1" sqref="H1"/>
      <selection pane="bottomLeft" activeCell="A2" sqref="A2"/>
      <selection pane="bottomRight" activeCell="AF99" sqref="AF99"/>
    </sheetView>
  </sheetViews>
  <sheetFormatPr defaultRowHeight="15" x14ac:dyDescent="0.25"/>
  <cols>
    <col min="1" max="6" width="3" style="17" customWidth="1"/>
    <col min="7" max="7" width="31.5703125" style="17" customWidth="1"/>
    <col min="8" max="8" width="8.42578125" style="18" bestFit="1" customWidth="1"/>
    <col min="9" max="9" width="2.28515625" style="18" customWidth="1"/>
    <col min="10" max="10" width="9" style="18" bestFit="1" customWidth="1"/>
    <col min="11" max="11" width="2.28515625" style="18" customWidth="1"/>
    <col min="12" max="12" width="8.42578125" style="18" bestFit="1" customWidth="1"/>
    <col min="13" max="13" width="2.28515625" style="18" customWidth="1"/>
    <col min="14" max="14" width="8.42578125" style="18" bestFit="1" customWidth="1"/>
    <col min="15" max="15" width="2.28515625" style="18" customWidth="1"/>
    <col min="16" max="16" width="9.28515625" style="18" bestFit="1" customWidth="1"/>
    <col min="17" max="17" width="2.28515625" style="18" customWidth="1"/>
    <col min="18" max="18" width="9" style="18" bestFit="1" customWidth="1"/>
    <col min="19" max="19" width="2.28515625" style="18" customWidth="1"/>
    <col min="20" max="20" width="8.42578125" style="18" bestFit="1" customWidth="1"/>
    <col min="21" max="21" width="2.28515625" style="18" customWidth="1"/>
    <col min="22" max="22" width="9" style="18" bestFit="1" customWidth="1"/>
    <col min="23" max="23" width="2.28515625" style="18" customWidth="1"/>
    <col min="24" max="24" width="9" style="18" bestFit="1" customWidth="1"/>
    <col min="25" max="25" width="2.28515625" style="18" customWidth="1"/>
    <col min="26" max="26" width="9" style="18" bestFit="1" customWidth="1"/>
    <col min="27" max="27" width="2.28515625" style="18" customWidth="1"/>
    <col min="28" max="28" width="9" style="18" bestFit="1" customWidth="1"/>
    <col min="29" max="29" width="2.28515625" style="18" customWidth="1"/>
    <col min="30" max="30" width="8.42578125" style="18" bestFit="1" customWidth="1"/>
    <col min="31" max="31" width="2.28515625" style="18" customWidth="1"/>
    <col min="32" max="32" width="9.28515625" style="18" bestFit="1" customWidth="1"/>
  </cols>
  <sheetData>
    <row r="1" spans="1:32" s="16" customFormat="1" ht="15.75" thickBot="1" x14ac:dyDescent="0.3">
      <c r="A1" s="13"/>
      <c r="B1" s="13"/>
      <c r="C1" s="13"/>
      <c r="D1" s="13"/>
      <c r="E1" s="13"/>
      <c r="F1" s="13"/>
      <c r="G1" s="13"/>
      <c r="H1" s="146" t="s">
        <v>205</v>
      </c>
      <c r="I1" s="15"/>
      <c r="J1" s="146" t="s">
        <v>206</v>
      </c>
      <c r="K1" s="15"/>
      <c r="L1" s="146" t="s">
        <v>207</v>
      </c>
      <c r="M1" s="15"/>
      <c r="N1" s="146" t="s">
        <v>208</v>
      </c>
      <c r="O1" s="15"/>
      <c r="P1" s="146" t="s">
        <v>209</v>
      </c>
      <c r="Q1" s="15"/>
      <c r="R1" s="146" t="s">
        <v>210</v>
      </c>
      <c r="S1" s="15"/>
      <c r="T1" s="146" t="s">
        <v>211</v>
      </c>
      <c r="U1" s="15"/>
      <c r="V1" s="146" t="s">
        <v>212</v>
      </c>
      <c r="W1" s="15"/>
      <c r="X1" s="146" t="s">
        <v>213</v>
      </c>
      <c r="Y1" s="15"/>
      <c r="Z1" s="146" t="s">
        <v>214</v>
      </c>
      <c r="AA1" s="15"/>
      <c r="AB1" s="146" t="s">
        <v>215</v>
      </c>
      <c r="AC1" s="15"/>
      <c r="AD1" s="146" t="s">
        <v>216</v>
      </c>
      <c r="AE1" s="15"/>
      <c r="AF1" s="146" t="s">
        <v>0</v>
      </c>
    </row>
    <row r="2" spans="1:32" ht="15.75" thickTop="1" x14ac:dyDescent="0.25">
      <c r="A2" s="2"/>
      <c r="B2" s="2" t="s">
        <v>14</v>
      </c>
      <c r="C2" s="2"/>
      <c r="D2" s="2"/>
      <c r="E2" s="2"/>
      <c r="F2" s="2"/>
      <c r="G2" s="2"/>
      <c r="H2" s="135"/>
      <c r="I2" s="6"/>
      <c r="J2" s="135"/>
      <c r="K2" s="6"/>
      <c r="L2" s="135"/>
      <c r="M2" s="6"/>
      <c r="N2" s="135"/>
      <c r="O2" s="6"/>
      <c r="P2" s="135"/>
      <c r="Q2" s="6"/>
      <c r="R2" s="135"/>
      <c r="S2" s="6"/>
      <c r="T2" s="135"/>
      <c r="U2" s="6"/>
      <c r="V2" s="135"/>
      <c r="W2" s="6"/>
      <c r="X2" s="135"/>
      <c r="Y2" s="6"/>
      <c r="Z2" s="135"/>
      <c r="AA2" s="6"/>
      <c r="AB2" s="135"/>
      <c r="AC2" s="6"/>
      <c r="AD2" s="135"/>
      <c r="AE2" s="6"/>
      <c r="AF2" s="135"/>
    </row>
    <row r="3" spans="1:32" x14ac:dyDescent="0.25">
      <c r="A3" s="2"/>
      <c r="B3" s="2"/>
      <c r="C3" s="2"/>
      <c r="D3" s="2" t="s">
        <v>15</v>
      </c>
      <c r="E3" s="2"/>
      <c r="F3" s="2"/>
      <c r="G3" s="2"/>
      <c r="H3" s="135"/>
      <c r="I3" s="6"/>
      <c r="J3" s="135"/>
      <c r="K3" s="6"/>
      <c r="L3" s="135"/>
      <c r="M3" s="6"/>
      <c r="N3" s="135"/>
      <c r="O3" s="6"/>
      <c r="P3" s="135"/>
      <c r="Q3" s="6"/>
      <c r="R3" s="135"/>
      <c r="S3" s="6"/>
      <c r="T3" s="135"/>
      <c r="U3" s="6"/>
      <c r="V3" s="135"/>
      <c r="W3" s="6"/>
      <c r="X3" s="135"/>
      <c r="Y3" s="6"/>
      <c r="Z3" s="135"/>
      <c r="AA3" s="6"/>
      <c r="AB3" s="135"/>
      <c r="AC3" s="6"/>
      <c r="AD3" s="135"/>
      <c r="AE3" s="6"/>
      <c r="AF3" s="135"/>
    </row>
    <row r="4" spans="1:32" x14ac:dyDescent="0.25">
      <c r="A4" s="2"/>
      <c r="B4" s="2"/>
      <c r="C4" s="2"/>
      <c r="D4" s="2"/>
      <c r="E4" s="2" t="s">
        <v>15</v>
      </c>
      <c r="F4" s="2"/>
      <c r="G4" s="2"/>
      <c r="H4" s="135"/>
      <c r="I4" s="6"/>
      <c r="J4" s="135"/>
      <c r="K4" s="6"/>
      <c r="L4" s="135"/>
      <c r="M4" s="6"/>
      <c r="N4" s="135"/>
      <c r="O4" s="6"/>
      <c r="P4" s="135"/>
      <c r="Q4" s="6"/>
      <c r="R4" s="135"/>
      <c r="S4" s="6"/>
      <c r="T4" s="135"/>
      <c r="U4" s="6"/>
      <c r="V4" s="135"/>
      <c r="W4" s="6"/>
      <c r="X4" s="135"/>
      <c r="Y4" s="6"/>
      <c r="Z4" s="135"/>
      <c r="AA4" s="6"/>
      <c r="AB4" s="135"/>
      <c r="AC4" s="6"/>
      <c r="AD4" s="135"/>
      <c r="AE4" s="6"/>
      <c r="AF4" s="135"/>
    </row>
    <row r="5" spans="1:32" x14ac:dyDescent="0.25">
      <c r="A5" s="2"/>
      <c r="B5" s="2"/>
      <c r="C5" s="2"/>
      <c r="D5" s="2"/>
      <c r="E5" s="2"/>
      <c r="F5" s="2" t="s">
        <v>16</v>
      </c>
      <c r="G5" s="2"/>
      <c r="H5" s="135"/>
      <c r="I5" s="6"/>
      <c r="J5" s="135"/>
      <c r="K5" s="6"/>
      <c r="L5" s="135"/>
      <c r="M5" s="6"/>
      <c r="N5" s="135"/>
      <c r="O5" s="6"/>
      <c r="P5" s="135"/>
      <c r="Q5" s="6"/>
      <c r="R5" s="135"/>
      <c r="S5" s="6"/>
      <c r="T5" s="135"/>
      <c r="U5" s="6"/>
      <c r="V5" s="135"/>
      <c r="W5" s="6"/>
      <c r="X5" s="135"/>
      <c r="Y5" s="6"/>
      <c r="Z5" s="135"/>
      <c r="AA5" s="6"/>
      <c r="AB5" s="135"/>
      <c r="AC5" s="6"/>
      <c r="AD5" s="135"/>
      <c r="AE5" s="6"/>
      <c r="AF5" s="135"/>
    </row>
    <row r="6" spans="1:32" x14ac:dyDescent="0.25">
      <c r="A6" s="2"/>
      <c r="B6" s="2"/>
      <c r="C6" s="2"/>
      <c r="D6" s="2"/>
      <c r="E6" s="2"/>
      <c r="F6" s="2"/>
      <c r="G6" s="2" t="s">
        <v>17</v>
      </c>
      <c r="H6" s="135">
        <v>38.200000000000003</v>
      </c>
      <c r="I6" s="6"/>
      <c r="J6" s="135">
        <v>38.19</v>
      </c>
      <c r="K6" s="6"/>
      <c r="L6" s="135">
        <v>38.19</v>
      </c>
      <c r="M6" s="6"/>
      <c r="N6" s="135">
        <v>38.200000000000003</v>
      </c>
      <c r="O6" s="6"/>
      <c r="P6" s="135">
        <v>38.19</v>
      </c>
      <c r="Q6" s="6"/>
      <c r="R6" s="135">
        <v>38.19</v>
      </c>
      <c r="S6" s="6"/>
      <c r="T6" s="135">
        <v>38.200000000000003</v>
      </c>
      <c r="U6" s="6"/>
      <c r="V6" s="135">
        <v>38.19</v>
      </c>
      <c r="W6" s="6"/>
      <c r="X6" s="135">
        <v>38.19</v>
      </c>
      <c r="Y6" s="6"/>
      <c r="Z6" s="135">
        <v>38.200000000000003</v>
      </c>
      <c r="AA6" s="6"/>
      <c r="AB6" s="135">
        <v>38.19</v>
      </c>
      <c r="AC6" s="6"/>
      <c r="AD6" s="135">
        <v>38.19</v>
      </c>
      <c r="AE6" s="6"/>
      <c r="AF6" s="135">
        <f>ROUND(SUM(H6:AD6),5)</f>
        <v>458.32</v>
      </c>
    </row>
    <row r="7" spans="1:32" x14ac:dyDescent="0.25">
      <c r="A7" s="2"/>
      <c r="B7" s="2"/>
      <c r="C7" s="2"/>
      <c r="D7" s="2"/>
      <c r="E7" s="2"/>
      <c r="F7" s="2"/>
      <c r="G7" s="2" t="s">
        <v>18</v>
      </c>
      <c r="H7" s="135">
        <v>637.09</v>
      </c>
      <c r="I7" s="6"/>
      <c r="J7" s="135">
        <v>637.09</v>
      </c>
      <c r="K7" s="6"/>
      <c r="L7" s="135">
        <v>637.09</v>
      </c>
      <c r="M7" s="6"/>
      <c r="N7" s="135">
        <v>637.09</v>
      </c>
      <c r="O7" s="6"/>
      <c r="P7" s="135">
        <v>637.09</v>
      </c>
      <c r="Q7" s="6"/>
      <c r="R7" s="135">
        <v>637.09</v>
      </c>
      <c r="S7" s="6"/>
      <c r="T7" s="135">
        <v>637.09</v>
      </c>
      <c r="U7" s="6"/>
      <c r="V7" s="135">
        <v>637.09</v>
      </c>
      <c r="W7" s="6"/>
      <c r="X7" s="135">
        <v>637.09</v>
      </c>
      <c r="Y7" s="6"/>
      <c r="Z7" s="135">
        <v>637.09</v>
      </c>
      <c r="AA7" s="6"/>
      <c r="AB7" s="135">
        <v>637.09</v>
      </c>
      <c r="AC7" s="6"/>
      <c r="AD7" s="135">
        <v>637.09</v>
      </c>
      <c r="AE7" s="6"/>
      <c r="AF7" s="135">
        <f>ROUND(SUM(H7:AD7),5)</f>
        <v>7645.08</v>
      </c>
    </row>
    <row r="8" spans="1:32" ht="15.75" thickBot="1" x14ac:dyDescent="0.3">
      <c r="A8" s="2"/>
      <c r="B8" s="2"/>
      <c r="C8" s="2"/>
      <c r="D8" s="2"/>
      <c r="E8" s="2"/>
      <c r="F8" s="2"/>
      <c r="G8" s="2" t="s">
        <v>19</v>
      </c>
      <c r="H8" s="147">
        <v>3105.3</v>
      </c>
      <c r="I8" s="6"/>
      <c r="J8" s="147">
        <v>3105.3</v>
      </c>
      <c r="K8" s="6"/>
      <c r="L8" s="147">
        <v>3105.3</v>
      </c>
      <c r="M8" s="6"/>
      <c r="N8" s="147">
        <v>3105.3</v>
      </c>
      <c r="O8" s="6"/>
      <c r="P8" s="147">
        <v>3105.3</v>
      </c>
      <c r="Q8" s="6"/>
      <c r="R8" s="147">
        <v>3105.3</v>
      </c>
      <c r="S8" s="6"/>
      <c r="T8" s="147">
        <v>3105.3</v>
      </c>
      <c r="U8" s="6"/>
      <c r="V8" s="147">
        <v>3105.3</v>
      </c>
      <c r="W8" s="6"/>
      <c r="X8" s="147">
        <v>3105.3</v>
      </c>
      <c r="Y8" s="6"/>
      <c r="Z8" s="147">
        <v>3105.3</v>
      </c>
      <c r="AA8" s="6"/>
      <c r="AB8" s="147">
        <v>3105.3</v>
      </c>
      <c r="AC8" s="6"/>
      <c r="AD8" s="147">
        <v>3105.3</v>
      </c>
      <c r="AE8" s="6"/>
      <c r="AF8" s="147">
        <f>ROUND(SUM(H8:AD8),5)</f>
        <v>37263.599999999999</v>
      </c>
    </row>
    <row r="9" spans="1:32" x14ac:dyDescent="0.25">
      <c r="A9" s="2"/>
      <c r="B9" s="2"/>
      <c r="C9" s="2"/>
      <c r="D9" s="2"/>
      <c r="E9" s="2"/>
      <c r="F9" s="2" t="s">
        <v>20</v>
      </c>
      <c r="G9" s="2"/>
      <c r="H9" s="135">
        <f>ROUND(SUM(H5:H8),5)</f>
        <v>3780.59</v>
      </c>
      <c r="I9" s="6"/>
      <c r="J9" s="135">
        <f>ROUND(SUM(J5:J8),5)</f>
        <v>3780.58</v>
      </c>
      <c r="K9" s="6"/>
      <c r="L9" s="135">
        <f>ROUND(SUM(L5:L8),5)</f>
        <v>3780.58</v>
      </c>
      <c r="M9" s="6"/>
      <c r="N9" s="135">
        <f>ROUND(SUM(N5:N8),5)</f>
        <v>3780.59</v>
      </c>
      <c r="O9" s="6"/>
      <c r="P9" s="135">
        <f>ROUND(SUM(P5:P8),5)</f>
        <v>3780.58</v>
      </c>
      <c r="Q9" s="6"/>
      <c r="R9" s="135">
        <f>ROUND(SUM(R5:R8),5)</f>
        <v>3780.58</v>
      </c>
      <c r="S9" s="6"/>
      <c r="T9" s="135">
        <f>ROUND(SUM(T5:T8),5)</f>
        <v>3780.59</v>
      </c>
      <c r="U9" s="6"/>
      <c r="V9" s="135">
        <f>ROUND(SUM(V5:V8),5)</f>
        <v>3780.58</v>
      </c>
      <c r="W9" s="6"/>
      <c r="X9" s="135">
        <f>ROUND(SUM(X5:X8),5)</f>
        <v>3780.58</v>
      </c>
      <c r="Y9" s="6"/>
      <c r="Z9" s="135">
        <f>ROUND(SUM(Z5:Z8),5)</f>
        <v>3780.59</v>
      </c>
      <c r="AA9" s="6"/>
      <c r="AB9" s="135">
        <f>ROUND(SUM(AB5:AB8),5)</f>
        <v>3780.58</v>
      </c>
      <c r="AC9" s="6"/>
      <c r="AD9" s="135">
        <f>ROUND(SUM(AD5:AD8),5)</f>
        <v>3780.58</v>
      </c>
      <c r="AE9" s="6"/>
      <c r="AF9" s="135">
        <f>ROUND(SUM(H9:AD9),5)</f>
        <v>45367</v>
      </c>
    </row>
    <row r="10" spans="1:32" ht="30" customHeight="1" x14ac:dyDescent="0.25">
      <c r="A10" s="2"/>
      <c r="B10" s="2"/>
      <c r="C10" s="2"/>
      <c r="D10" s="2"/>
      <c r="E10" s="2"/>
      <c r="F10" s="2" t="s">
        <v>21</v>
      </c>
      <c r="G10" s="2"/>
      <c r="H10" s="135"/>
      <c r="I10" s="6"/>
      <c r="J10" s="135"/>
      <c r="K10" s="6"/>
      <c r="L10" s="135"/>
      <c r="M10" s="6"/>
      <c r="N10" s="135"/>
      <c r="O10" s="6"/>
      <c r="P10" s="135"/>
      <c r="Q10" s="6"/>
      <c r="R10" s="135"/>
      <c r="S10" s="6"/>
      <c r="T10" s="135"/>
      <c r="U10" s="6"/>
      <c r="V10" s="135"/>
      <c r="W10" s="6"/>
      <c r="X10" s="135"/>
      <c r="Y10" s="6"/>
      <c r="Z10" s="135"/>
      <c r="AA10" s="6"/>
      <c r="AB10" s="135"/>
      <c r="AC10" s="6"/>
      <c r="AD10" s="135"/>
      <c r="AE10" s="6"/>
      <c r="AF10" s="135"/>
    </row>
    <row r="11" spans="1:32" x14ac:dyDescent="0.25">
      <c r="A11" s="2"/>
      <c r="B11" s="2"/>
      <c r="C11" s="2"/>
      <c r="D11" s="2"/>
      <c r="E11" s="2"/>
      <c r="F11" s="2"/>
      <c r="G11" s="2" t="s">
        <v>17</v>
      </c>
      <c r="H11" s="135">
        <v>24.17</v>
      </c>
      <c r="I11" s="6"/>
      <c r="J11" s="135">
        <v>24.18</v>
      </c>
      <c r="K11" s="6"/>
      <c r="L11" s="135">
        <v>24.18</v>
      </c>
      <c r="M11" s="6"/>
      <c r="N11" s="135">
        <v>24.17</v>
      </c>
      <c r="O11" s="6"/>
      <c r="P11" s="135">
        <v>24.18</v>
      </c>
      <c r="Q11" s="6"/>
      <c r="R11" s="135">
        <v>24.18</v>
      </c>
      <c r="S11" s="6"/>
      <c r="T11" s="135">
        <v>24.17</v>
      </c>
      <c r="U11" s="6"/>
      <c r="V11" s="135">
        <v>24.18</v>
      </c>
      <c r="W11" s="6"/>
      <c r="X11" s="135">
        <v>24.18</v>
      </c>
      <c r="Y11" s="6"/>
      <c r="Z11" s="135">
        <v>24.17</v>
      </c>
      <c r="AA11" s="6"/>
      <c r="AB11" s="135">
        <v>24.18</v>
      </c>
      <c r="AC11" s="6"/>
      <c r="AD11" s="135">
        <v>24.18</v>
      </c>
      <c r="AE11" s="6"/>
      <c r="AF11" s="135">
        <f t="shared" ref="AF11:AF16" si="0">ROUND(SUM(H11:AD11),5)</f>
        <v>290.12</v>
      </c>
    </row>
    <row r="12" spans="1:32" x14ac:dyDescent="0.25">
      <c r="A12" s="2"/>
      <c r="B12" s="2"/>
      <c r="C12" s="2"/>
      <c r="D12" s="2"/>
      <c r="E12" s="2"/>
      <c r="F12" s="2"/>
      <c r="G12" s="2" t="s">
        <v>18</v>
      </c>
      <c r="H12" s="135">
        <v>580.20000000000005</v>
      </c>
      <c r="I12" s="6"/>
      <c r="J12" s="135">
        <v>580.20000000000005</v>
      </c>
      <c r="K12" s="6"/>
      <c r="L12" s="135">
        <v>580.20000000000005</v>
      </c>
      <c r="M12" s="6"/>
      <c r="N12" s="135">
        <v>580.20000000000005</v>
      </c>
      <c r="O12" s="6"/>
      <c r="P12" s="135">
        <v>580.20000000000005</v>
      </c>
      <c r="Q12" s="6"/>
      <c r="R12" s="135">
        <v>580.20000000000005</v>
      </c>
      <c r="S12" s="6"/>
      <c r="T12" s="135">
        <v>580.20000000000005</v>
      </c>
      <c r="U12" s="6"/>
      <c r="V12" s="135">
        <v>580.20000000000005</v>
      </c>
      <c r="W12" s="6"/>
      <c r="X12" s="135">
        <v>580.20000000000005</v>
      </c>
      <c r="Y12" s="6"/>
      <c r="Z12" s="135">
        <v>580.20000000000005</v>
      </c>
      <c r="AA12" s="6"/>
      <c r="AB12" s="135">
        <v>580.20000000000005</v>
      </c>
      <c r="AC12" s="135"/>
      <c r="AD12" s="135">
        <v>580.20000000000005</v>
      </c>
      <c r="AE12" s="6"/>
      <c r="AF12" s="135">
        <f t="shared" si="0"/>
        <v>6962.4</v>
      </c>
    </row>
    <row r="13" spans="1:32" x14ac:dyDescent="0.25">
      <c r="A13" s="2"/>
      <c r="B13" s="2"/>
      <c r="C13" s="2"/>
      <c r="D13" s="2"/>
      <c r="E13" s="2"/>
      <c r="F13" s="2"/>
      <c r="G13" s="2" t="s">
        <v>19</v>
      </c>
      <c r="H13" s="135">
        <v>1692.36</v>
      </c>
      <c r="I13" s="6"/>
      <c r="J13" s="135">
        <v>1692.37</v>
      </c>
      <c r="K13" s="6"/>
      <c r="L13" s="135">
        <v>1692.37</v>
      </c>
      <c r="M13" s="6"/>
      <c r="N13" s="135">
        <v>1692.36</v>
      </c>
      <c r="O13" s="6"/>
      <c r="P13" s="135">
        <v>1692.37</v>
      </c>
      <c r="Q13" s="6"/>
      <c r="R13" s="135">
        <v>1692.37</v>
      </c>
      <c r="S13" s="6"/>
      <c r="T13" s="135">
        <v>1692.36</v>
      </c>
      <c r="U13" s="6"/>
      <c r="V13" s="135">
        <v>1692.37</v>
      </c>
      <c r="W13" s="6"/>
      <c r="X13" s="135">
        <v>1692.37</v>
      </c>
      <c r="Y13" s="6"/>
      <c r="Z13" s="135">
        <v>1692.36</v>
      </c>
      <c r="AA13" s="6"/>
      <c r="AB13" s="135">
        <v>1692.37</v>
      </c>
      <c r="AC13" s="6"/>
      <c r="AD13" s="135">
        <v>1692.37</v>
      </c>
      <c r="AE13" s="6"/>
      <c r="AF13" s="135">
        <f t="shared" si="0"/>
        <v>20308.400000000001</v>
      </c>
    </row>
    <row r="14" spans="1:32" x14ac:dyDescent="0.25">
      <c r="A14" s="2"/>
      <c r="B14" s="2"/>
      <c r="C14" s="2"/>
      <c r="D14" s="2"/>
      <c r="E14" s="2"/>
      <c r="F14" s="2"/>
      <c r="G14" s="2" t="s">
        <v>22</v>
      </c>
      <c r="H14" s="135">
        <v>48.36</v>
      </c>
      <c r="I14" s="6"/>
      <c r="J14" s="135">
        <v>48.35</v>
      </c>
      <c r="K14" s="6"/>
      <c r="L14" s="135">
        <v>48.35</v>
      </c>
      <c r="M14" s="6"/>
      <c r="N14" s="135">
        <v>48.36</v>
      </c>
      <c r="O14" s="6"/>
      <c r="P14" s="135">
        <v>48.35</v>
      </c>
      <c r="Q14" s="6"/>
      <c r="R14" s="135">
        <v>48.35</v>
      </c>
      <c r="S14" s="6"/>
      <c r="T14" s="135">
        <v>48.36</v>
      </c>
      <c r="U14" s="6"/>
      <c r="V14" s="135">
        <v>48.35</v>
      </c>
      <c r="W14" s="6"/>
      <c r="X14" s="135">
        <v>48.35</v>
      </c>
      <c r="Y14" s="6"/>
      <c r="Z14" s="135">
        <v>48.36</v>
      </c>
      <c r="AA14" s="6"/>
      <c r="AB14" s="135">
        <v>48.35</v>
      </c>
      <c r="AC14" s="6"/>
      <c r="AD14" s="135">
        <v>48.35</v>
      </c>
      <c r="AE14" s="6"/>
      <c r="AF14" s="135">
        <f t="shared" si="0"/>
        <v>580.24</v>
      </c>
    </row>
    <row r="15" spans="1:32" ht="15.75" thickBot="1" x14ac:dyDescent="0.3">
      <c r="A15" s="2"/>
      <c r="B15" s="2"/>
      <c r="C15" s="2"/>
      <c r="D15" s="2"/>
      <c r="E15" s="2"/>
      <c r="F15" s="2"/>
      <c r="G15" s="2" t="s">
        <v>23</v>
      </c>
      <c r="H15" s="147">
        <v>4.0999999999999996</v>
      </c>
      <c r="I15" s="6"/>
      <c r="J15" s="147">
        <v>576.91999999999996</v>
      </c>
      <c r="K15" s="6"/>
      <c r="L15" s="147">
        <v>521.72</v>
      </c>
      <c r="M15" s="6"/>
      <c r="N15" s="147">
        <v>295</v>
      </c>
      <c r="O15" s="6"/>
      <c r="P15" s="147">
        <v>309.49</v>
      </c>
      <c r="Q15" s="6"/>
      <c r="R15" s="147">
        <v>580.38</v>
      </c>
      <c r="S15" s="6"/>
      <c r="T15" s="147">
        <v>483.33</v>
      </c>
      <c r="U15" s="6"/>
      <c r="V15" s="147">
        <v>585.55999999999995</v>
      </c>
      <c r="W15" s="6"/>
      <c r="X15" s="147">
        <v>549.4</v>
      </c>
      <c r="Y15" s="6"/>
      <c r="Z15" s="147">
        <v>264.91000000000003</v>
      </c>
      <c r="AA15" s="6"/>
      <c r="AB15" s="148">
        <v>500</v>
      </c>
      <c r="AC15" s="6"/>
      <c r="AD15" s="148">
        <v>500</v>
      </c>
      <c r="AE15" s="6"/>
      <c r="AF15" s="147">
        <f t="shared" si="0"/>
        <v>5170.8100000000004</v>
      </c>
    </row>
    <row r="16" spans="1:32" x14ac:dyDescent="0.25">
      <c r="A16" s="2"/>
      <c r="B16" s="2"/>
      <c r="C16" s="2"/>
      <c r="D16" s="2"/>
      <c r="E16" s="2"/>
      <c r="F16" s="2" t="s">
        <v>24</v>
      </c>
      <c r="G16" s="2"/>
      <c r="H16" s="135">
        <f>ROUND(SUM(H10:H15),5)</f>
        <v>2349.19</v>
      </c>
      <c r="I16" s="6"/>
      <c r="J16" s="135">
        <f>ROUND(SUM(J10:J15),5)</f>
        <v>2922.02</v>
      </c>
      <c r="K16" s="6"/>
      <c r="L16" s="135">
        <f>ROUND(SUM(L10:L15),5)</f>
        <v>2866.82</v>
      </c>
      <c r="M16" s="6"/>
      <c r="N16" s="135">
        <f>ROUND(SUM(N10:N15),5)</f>
        <v>2640.09</v>
      </c>
      <c r="O16" s="6"/>
      <c r="P16" s="135">
        <f>ROUND(SUM(P10:P15),5)</f>
        <v>2654.59</v>
      </c>
      <c r="Q16" s="6"/>
      <c r="R16" s="135">
        <f>ROUND(SUM(R10:R15),5)</f>
        <v>2925.48</v>
      </c>
      <c r="S16" s="6"/>
      <c r="T16" s="135">
        <f>ROUND(SUM(T10:T15),5)</f>
        <v>2828.42</v>
      </c>
      <c r="U16" s="6"/>
      <c r="V16" s="135">
        <f>ROUND(SUM(V10:V15),5)</f>
        <v>2930.66</v>
      </c>
      <c r="W16" s="6"/>
      <c r="X16" s="135">
        <f>ROUND(SUM(X10:X15),5)</f>
        <v>2894.5</v>
      </c>
      <c r="Y16" s="6"/>
      <c r="Z16" s="135">
        <f>ROUND(SUM(Z10:Z15),5)</f>
        <v>2610</v>
      </c>
      <c r="AA16" s="6"/>
      <c r="AB16" s="135">
        <f>ROUND(SUM(AB10:AB15),5)</f>
        <v>2845.1</v>
      </c>
      <c r="AC16" s="6"/>
      <c r="AD16" s="135">
        <f>ROUND(SUM(AD10:AD15),5)</f>
        <v>2845.1</v>
      </c>
      <c r="AE16" s="6"/>
      <c r="AF16" s="135">
        <f t="shared" si="0"/>
        <v>33311.97</v>
      </c>
    </row>
    <row r="17" spans="1:32" ht="30" customHeight="1" x14ac:dyDescent="0.25">
      <c r="A17" s="2"/>
      <c r="B17" s="2"/>
      <c r="C17" s="2"/>
      <c r="D17" s="2"/>
      <c r="E17" s="2"/>
      <c r="F17" s="2" t="s">
        <v>25</v>
      </c>
      <c r="G17" s="2"/>
      <c r="H17" s="135"/>
      <c r="I17" s="6"/>
      <c r="J17" s="135"/>
      <c r="K17" s="6"/>
      <c r="L17" s="135"/>
      <c r="M17" s="6"/>
      <c r="N17" s="135"/>
      <c r="O17" s="6"/>
      <c r="P17" s="135"/>
      <c r="Q17" s="6"/>
      <c r="R17" s="135"/>
      <c r="S17" s="6"/>
      <c r="T17" s="135"/>
      <c r="U17" s="6"/>
      <c r="V17" s="135"/>
      <c r="W17" s="6"/>
      <c r="X17" s="135"/>
      <c r="Y17" s="6"/>
      <c r="Z17" s="135"/>
      <c r="AA17" s="6"/>
      <c r="AB17" s="135"/>
      <c r="AC17" s="6"/>
      <c r="AD17" s="135"/>
      <c r="AE17" s="6"/>
      <c r="AF17" s="135"/>
    </row>
    <row r="18" spans="1:32" x14ac:dyDescent="0.25">
      <c r="A18" s="2"/>
      <c r="B18" s="2"/>
      <c r="C18" s="2"/>
      <c r="D18" s="2"/>
      <c r="E18" s="2"/>
      <c r="F18" s="2"/>
      <c r="G18" s="2" t="s">
        <v>26</v>
      </c>
      <c r="H18" s="135">
        <v>8302.74</v>
      </c>
      <c r="I18" s="6"/>
      <c r="J18" s="135">
        <v>8302.75</v>
      </c>
      <c r="K18" s="6"/>
      <c r="L18" s="135">
        <v>8302.75</v>
      </c>
      <c r="M18" s="6"/>
      <c r="N18" s="135">
        <v>8302.74</v>
      </c>
      <c r="O18" s="6"/>
      <c r="P18" s="135">
        <v>8302.75</v>
      </c>
      <c r="Q18" s="6"/>
      <c r="R18" s="135">
        <v>8302.75</v>
      </c>
      <c r="S18" s="6"/>
      <c r="T18" s="135">
        <v>8302.74</v>
      </c>
      <c r="U18" s="6"/>
      <c r="V18" s="135">
        <v>8302.75</v>
      </c>
      <c r="W18" s="6"/>
      <c r="X18" s="135">
        <v>8302.75</v>
      </c>
      <c r="Y18" s="6"/>
      <c r="Z18" s="135">
        <v>8302.74</v>
      </c>
      <c r="AA18" s="6"/>
      <c r="AB18" s="135">
        <v>8302.75</v>
      </c>
      <c r="AC18" s="6"/>
      <c r="AD18" s="135">
        <v>8302.75</v>
      </c>
      <c r="AE18" s="6"/>
      <c r="AF18" s="135">
        <f t="shared" ref="AF18:AF24" si="1">ROUND(SUM(H18:AD18),5)</f>
        <v>99632.960000000006</v>
      </c>
    </row>
    <row r="19" spans="1:32" x14ac:dyDescent="0.25">
      <c r="A19" s="2"/>
      <c r="B19" s="2"/>
      <c r="C19" s="2"/>
      <c r="D19" s="2"/>
      <c r="E19" s="2"/>
      <c r="F19" s="2"/>
      <c r="G19" s="2" t="s">
        <v>17</v>
      </c>
      <c r="H19" s="135">
        <v>496.58</v>
      </c>
      <c r="I19" s="6"/>
      <c r="J19" s="135">
        <v>496.57</v>
      </c>
      <c r="K19" s="6"/>
      <c r="L19" s="135">
        <v>496.57</v>
      </c>
      <c r="M19" s="6"/>
      <c r="N19" s="135">
        <v>496.58</v>
      </c>
      <c r="O19" s="6"/>
      <c r="P19" s="135">
        <v>496.57</v>
      </c>
      <c r="Q19" s="6"/>
      <c r="R19" s="135">
        <v>496.57</v>
      </c>
      <c r="S19" s="6"/>
      <c r="T19" s="135">
        <v>533.92999999999995</v>
      </c>
      <c r="U19" s="6"/>
      <c r="V19" s="135">
        <v>496.57</v>
      </c>
      <c r="W19" s="6"/>
      <c r="X19" s="135">
        <v>496.57</v>
      </c>
      <c r="Y19" s="6"/>
      <c r="Z19" s="135">
        <v>496.58</v>
      </c>
      <c r="AA19" s="6"/>
      <c r="AB19" s="135">
        <v>496.57</v>
      </c>
      <c r="AC19" s="6"/>
      <c r="AD19" s="135">
        <v>496.57</v>
      </c>
      <c r="AE19" s="6"/>
      <c r="AF19" s="135">
        <f t="shared" si="1"/>
        <v>5996.23</v>
      </c>
    </row>
    <row r="20" spans="1:32" x14ac:dyDescent="0.25">
      <c r="A20" s="2"/>
      <c r="B20" s="2"/>
      <c r="C20" s="2"/>
      <c r="D20" s="2"/>
      <c r="E20" s="2"/>
      <c r="F20" s="2"/>
      <c r="G20" s="2" t="s">
        <v>19</v>
      </c>
      <c r="H20" s="135">
        <v>21606.84</v>
      </c>
      <c r="I20" s="6"/>
      <c r="J20" s="135">
        <v>21606.84</v>
      </c>
      <c r="K20" s="6"/>
      <c r="L20" s="135">
        <v>21606.84</v>
      </c>
      <c r="M20" s="6"/>
      <c r="N20" s="135">
        <v>21606.75</v>
      </c>
      <c r="O20" s="6"/>
      <c r="P20" s="135">
        <v>21606.84</v>
      </c>
      <c r="Q20" s="6"/>
      <c r="R20" s="135">
        <v>21606.84</v>
      </c>
      <c r="S20" s="6"/>
      <c r="T20" s="135">
        <v>30804.01</v>
      </c>
      <c r="U20" s="6"/>
      <c r="V20" s="135">
        <v>21606.84</v>
      </c>
      <c r="W20" s="6"/>
      <c r="X20" s="135">
        <v>21606.84</v>
      </c>
      <c r="Y20" s="6"/>
      <c r="Z20" s="135">
        <v>29303.7</v>
      </c>
      <c r="AA20" s="6"/>
      <c r="AB20" s="135">
        <v>21606.84</v>
      </c>
      <c r="AC20" s="6"/>
      <c r="AD20" s="135">
        <v>21606.84</v>
      </c>
      <c r="AE20" s="6"/>
      <c r="AF20" s="135">
        <f t="shared" si="1"/>
        <v>276176.02</v>
      </c>
    </row>
    <row r="21" spans="1:32" x14ac:dyDescent="0.25">
      <c r="A21" s="2"/>
      <c r="B21" s="2"/>
      <c r="C21" s="2"/>
      <c r="D21" s="2"/>
      <c r="E21" s="2"/>
      <c r="F21" s="2"/>
      <c r="G21" s="2" t="s">
        <v>27</v>
      </c>
      <c r="H21" s="135">
        <v>397.76</v>
      </c>
      <c r="I21" s="6"/>
      <c r="J21" s="135">
        <v>397.76</v>
      </c>
      <c r="K21" s="6"/>
      <c r="L21" s="135">
        <v>397.76</v>
      </c>
      <c r="M21" s="6"/>
      <c r="N21" s="135">
        <v>397.76</v>
      </c>
      <c r="O21" s="6"/>
      <c r="P21" s="135">
        <v>397.76</v>
      </c>
      <c r="Q21" s="6"/>
      <c r="R21" s="135">
        <v>397.76</v>
      </c>
      <c r="S21" s="6"/>
      <c r="T21" s="135">
        <v>397.76</v>
      </c>
      <c r="U21" s="6"/>
      <c r="V21" s="135">
        <v>397.76</v>
      </c>
      <c r="W21" s="6"/>
      <c r="X21" s="135">
        <v>397.76</v>
      </c>
      <c r="Y21" s="6"/>
      <c r="Z21" s="135">
        <v>397.76</v>
      </c>
      <c r="AA21" s="6"/>
      <c r="AB21" s="135">
        <v>397.76</v>
      </c>
      <c r="AC21" s="6"/>
      <c r="AD21" s="135">
        <v>397.76</v>
      </c>
      <c r="AE21" s="6"/>
      <c r="AF21" s="135">
        <f t="shared" si="1"/>
        <v>4773.12</v>
      </c>
    </row>
    <row r="22" spans="1:32" x14ac:dyDescent="0.25">
      <c r="A22" s="2"/>
      <c r="B22" s="2"/>
      <c r="C22" s="2"/>
      <c r="D22" s="2"/>
      <c r="E22" s="2"/>
      <c r="F22" s="2"/>
      <c r="G22" s="2" t="s">
        <v>22</v>
      </c>
      <c r="H22" s="135">
        <v>26482.21</v>
      </c>
      <c r="I22" s="6"/>
      <c r="J22" s="135">
        <v>26482.21</v>
      </c>
      <c r="K22" s="6"/>
      <c r="L22" s="135">
        <v>26482.21</v>
      </c>
      <c r="M22" s="6"/>
      <c r="N22" s="135">
        <v>26482.21</v>
      </c>
      <c r="O22" s="6"/>
      <c r="P22" s="135">
        <v>26482.21</v>
      </c>
      <c r="Q22" s="6"/>
      <c r="R22" s="135">
        <v>26482.21</v>
      </c>
      <c r="S22" s="6"/>
      <c r="T22" s="135">
        <v>26482.21</v>
      </c>
      <c r="U22" s="6"/>
      <c r="V22" s="135">
        <v>26482.21</v>
      </c>
      <c r="W22" s="6"/>
      <c r="X22" s="135">
        <v>26482.21</v>
      </c>
      <c r="Y22" s="6"/>
      <c r="Z22" s="135">
        <v>26482.21</v>
      </c>
      <c r="AA22" s="6"/>
      <c r="AB22" s="135">
        <v>26482.21</v>
      </c>
      <c r="AC22" s="6"/>
      <c r="AD22" s="135">
        <v>26482.21</v>
      </c>
      <c r="AE22" s="6"/>
      <c r="AF22" s="135">
        <f t="shared" si="1"/>
        <v>317786.52</v>
      </c>
    </row>
    <row r="23" spans="1:32" ht="15.75" thickBot="1" x14ac:dyDescent="0.3">
      <c r="A23" s="2"/>
      <c r="B23" s="2"/>
      <c r="C23" s="2"/>
      <c r="D23" s="2"/>
      <c r="E23" s="2"/>
      <c r="F23" s="2"/>
      <c r="G23" s="2" t="s">
        <v>23</v>
      </c>
      <c r="H23" s="147">
        <v>1312.62</v>
      </c>
      <c r="I23" s="6"/>
      <c r="J23" s="147">
        <v>1312.6</v>
      </c>
      <c r="K23" s="6"/>
      <c r="L23" s="147">
        <v>1312.6</v>
      </c>
      <c r="M23" s="6"/>
      <c r="N23" s="147">
        <v>1312.62</v>
      </c>
      <c r="O23" s="6"/>
      <c r="P23" s="147">
        <v>1312.6</v>
      </c>
      <c r="Q23" s="6"/>
      <c r="R23" s="147">
        <v>1312.6</v>
      </c>
      <c r="S23" s="6"/>
      <c r="T23" s="147">
        <v>1312.62</v>
      </c>
      <c r="U23" s="6"/>
      <c r="V23" s="147">
        <v>1312.6</v>
      </c>
      <c r="W23" s="6"/>
      <c r="X23" s="147">
        <v>1312.6</v>
      </c>
      <c r="Y23" s="6"/>
      <c r="Z23" s="147">
        <v>1312.62</v>
      </c>
      <c r="AA23" s="6"/>
      <c r="AB23" s="147">
        <v>1312.6</v>
      </c>
      <c r="AC23" s="6"/>
      <c r="AD23" s="147">
        <v>1312.6</v>
      </c>
      <c r="AE23" s="6"/>
      <c r="AF23" s="147">
        <f t="shared" si="1"/>
        <v>15751.28</v>
      </c>
    </row>
    <row r="24" spans="1:32" x14ac:dyDescent="0.25">
      <c r="A24" s="2"/>
      <c r="B24" s="2"/>
      <c r="C24" s="2"/>
      <c r="D24" s="2"/>
      <c r="E24" s="2"/>
      <c r="F24" s="2" t="s">
        <v>28</v>
      </c>
      <c r="G24" s="2"/>
      <c r="H24" s="135">
        <f>ROUND(SUM(H17:H23),5)</f>
        <v>58598.75</v>
      </c>
      <c r="I24" s="6"/>
      <c r="J24" s="135">
        <f>ROUND(SUM(J17:J23),5)</f>
        <v>58598.73</v>
      </c>
      <c r="K24" s="6"/>
      <c r="L24" s="135">
        <f>ROUND(SUM(L17:L23),5)</f>
        <v>58598.73</v>
      </c>
      <c r="M24" s="6"/>
      <c r="N24" s="135">
        <f>ROUND(SUM(N17:N23),5)</f>
        <v>58598.66</v>
      </c>
      <c r="O24" s="6"/>
      <c r="P24" s="135">
        <f>ROUND(SUM(P17:P23),5)</f>
        <v>58598.73</v>
      </c>
      <c r="Q24" s="6"/>
      <c r="R24" s="135">
        <f>ROUND(SUM(R17:R23),5)</f>
        <v>58598.73</v>
      </c>
      <c r="S24" s="6"/>
      <c r="T24" s="135">
        <f>ROUND(SUM(T17:T23),5)</f>
        <v>67833.27</v>
      </c>
      <c r="U24" s="6"/>
      <c r="V24" s="135">
        <f>ROUND(SUM(V17:V23),5)</f>
        <v>58598.73</v>
      </c>
      <c r="W24" s="6"/>
      <c r="X24" s="135">
        <f>ROUND(SUM(X17:X23),5)</f>
        <v>58598.73</v>
      </c>
      <c r="Y24" s="6"/>
      <c r="Z24" s="135">
        <f>ROUND(SUM(Z17:Z23),5)</f>
        <v>66295.61</v>
      </c>
      <c r="AA24" s="6"/>
      <c r="AB24" s="135">
        <f>ROUND(SUM(AB17:AB23),5)</f>
        <v>58598.73</v>
      </c>
      <c r="AC24" s="6"/>
      <c r="AD24" s="135">
        <f>ROUND(SUM(AD17:AD23),5)</f>
        <v>58598.73</v>
      </c>
      <c r="AE24" s="6"/>
      <c r="AF24" s="135">
        <f t="shared" si="1"/>
        <v>720116.13</v>
      </c>
    </row>
    <row r="25" spans="1:32" ht="30" customHeight="1" x14ac:dyDescent="0.25">
      <c r="A25" s="2"/>
      <c r="B25" s="2"/>
      <c r="C25" s="2"/>
      <c r="D25" s="2"/>
      <c r="E25" s="2"/>
      <c r="F25" s="2" t="s">
        <v>29</v>
      </c>
      <c r="G25" s="2"/>
      <c r="H25" s="135"/>
      <c r="I25" s="6"/>
      <c r="J25" s="135"/>
      <c r="K25" s="6"/>
      <c r="L25" s="135"/>
      <c r="M25" s="6"/>
      <c r="N25" s="135"/>
      <c r="O25" s="6"/>
      <c r="P25" s="135"/>
      <c r="Q25" s="6"/>
      <c r="R25" s="135"/>
      <c r="S25" s="6"/>
      <c r="T25" s="135"/>
      <c r="U25" s="6"/>
      <c r="V25" s="135"/>
      <c r="W25" s="6"/>
      <c r="X25" s="135"/>
      <c r="Y25" s="6"/>
      <c r="Z25" s="135"/>
      <c r="AA25" s="6"/>
      <c r="AB25" s="135"/>
      <c r="AC25" s="6"/>
      <c r="AD25" s="135"/>
      <c r="AE25" s="6"/>
      <c r="AF25" s="135"/>
    </row>
    <row r="26" spans="1:32" x14ac:dyDescent="0.25">
      <c r="A26" s="2"/>
      <c r="B26" s="2"/>
      <c r="C26" s="2"/>
      <c r="D26" s="2"/>
      <c r="E26" s="2"/>
      <c r="F26" s="2"/>
      <c r="G26" s="2" t="s">
        <v>30</v>
      </c>
      <c r="H26" s="135">
        <v>0</v>
      </c>
      <c r="I26" s="6"/>
      <c r="J26" s="135">
        <v>0</v>
      </c>
      <c r="K26" s="6"/>
      <c r="L26" s="135">
        <v>0</v>
      </c>
      <c r="M26" s="6"/>
      <c r="N26" s="135">
        <v>6000</v>
      </c>
      <c r="O26" s="6"/>
      <c r="P26" s="135">
        <v>0</v>
      </c>
      <c r="Q26" s="6"/>
      <c r="R26" s="135">
        <v>0</v>
      </c>
      <c r="S26" s="6"/>
      <c r="T26" s="135">
        <v>0</v>
      </c>
      <c r="U26" s="6"/>
      <c r="V26" s="135">
        <v>0</v>
      </c>
      <c r="W26" s="6"/>
      <c r="X26" s="135">
        <v>0</v>
      </c>
      <c r="Y26" s="6"/>
      <c r="Z26" s="135">
        <v>6000</v>
      </c>
      <c r="AA26" s="6"/>
      <c r="AB26" s="135">
        <v>0</v>
      </c>
      <c r="AC26" s="6"/>
      <c r="AD26" s="135">
        <v>0</v>
      </c>
      <c r="AE26" s="6"/>
      <c r="AF26" s="135">
        <f t="shared" ref="AF26:AF32" si="2">ROUND(SUM(H26:AD26),5)</f>
        <v>12000</v>
      </c>
    </row>
    <row r="27" spans="1:32" ht="15.75" thickBot="1" x14ac:dyDescent="0.3">
      <c r="A27" s="2"/>
      <c r="B27" s="2"/>
      <c r="C27" s="2"/>
      <c r="D27" s="2"/>
      <c r="E27" s="2"/>
      <c r="F27" s="2"/>
      <c r="G27" s="2" t="s">
        <v>31</v>
      </c>
      <c r="H27" s="147">
        <v>216.98</v>
      </c>
      <c r="I27" s="6"/>
      <c r="J27" s="147">
        <v>351.51</v>
      </c>
      <c r="K27" s="6"/>
      <c r="L27" s="147">
        <v>317.49</v>
      </c>
      <c r="M27" s="6"/>
      <c r="N27" s="147">
        <v>351.51</v>
      </c>
      <c r="O27" s="6"/>
      <c r="P27" s="147">
        <v>0</v>
      </c>
      <c r="Q27" s="6"/>
      <c r="R27" s="147">
        <v>0</v>
      </c>
      <c r="S27" s="6"/>
      <c r="T27" s="147">
        <v>0</v>
      </c>
      <c r="U27" s="6"/>
      <c r="V27" s="147">
        <v>0</v>
      </c>
      <c r="W27" s="6"/>
      <c r="X27" s="147">
        <v>4662.16</v>
      </c>
      <c r="Y27" s="6"/>
      <c r="Z27" s="147">
        <v>0</v>
      </c>
      <c r="AA27" s="6"/>
      <c r="AB27" s="147">
        <v>0</v>
      </c>
      <c r="AC27" s="6"/>
      <c r="AD27" s="147">
        <v>0</v>
      </c>
      <c r="AE27" s="6"/>
      <c r="AF27" s="147">
        <f t="shared" si="2"/>
        <v>5899.65</v>
      </c>
    </row>
    <row r="28" spans="1:32" x14ac:dyDescent="0.25">
      <c r="A28" s="2"/>
      <c r="B28" s="2"/>
      <c r="C28" s="2"/>
      <c r="D28" s="2"/>
      <c r="E28" s="2"/>
      <c r="F28" s="2" t="s">
        <v>33</v>
      </c>
      <c r="G28" s="2"/>
      <c r="H28" s="135">
        <f>ROUND(SUM(H25:H27),5)</f>
        <v>216.98</v>
      </c>
      <c r="I28" s="6"/>
      <c r="J28" s="135">
        <f>ROUND(SUM(J25:J27),5)</f>
        <v>351.51</v>
      </c>
      <c r="K28" s="6"/>
      <c r="L28" s="135">
        <f>ROUND(SUM(L25:L27),5)</f>
        <v>317.49</v>
      </c>
      <c r="M28" s="6"/>
      <c r="N28" s="135">
        <f>ROUND(SUM(N25:N27),5)</f>
        <v>6351.51</v>
      </c>
      <c r="O28" s="6"/>
      <c r="P28" s="135">
        <f>ROUND(SUM(P25:P27),5)</f>
        <v>0</v>
      </c>
      <c r="Q28" s="6"/>
      <c r="R28" s="135">
        <f>ROUND(SUM(R25:R27),5)</f>
        <v>0</v>
      </c>
      <c r="S28" s="6"/>
      <c r="T28" s="135">
        <f>ROUND(SUM(T25:T27),5)</f>
        <v>0</v>
      </c>
      <c r="U28" s="6"/>
      <c r="V28" s="135">
        <f>ROUND(SUM(V25:V27),5)</f>
        <v>0</v>
      </c>
      <c r="W28" s="6"/>
      <c r="X28" s="135">
        <f>ROUND(SUM(X25:X27),5)</f>
        <v>4662.16</v>
      </c>
      <c r="Y28" s="6"/>
      <c r="Z28" s="135">
        <f>ROUND(SUM(Z25:Z27),5)</f>
        <v>6000</v>
      </c>
      <c r="AA28" s="6"/>
      <c r="AB28" s="135">
        <f>ROUND(SUM(AB25:AB27),5)</f>
        <v>0</v>
      </c>
      <c r="AC28" s="6"/>
      <c r="AD28" s="135">
        <f>ROUND(SUM(AD25:AD27),5)</f>
        <v>0</v>
      </c>
      <c r="AE28" s="6"/>
      <c r="AF28" s="135">
        <f t="shared" si="2"/>
        <v>17899.650000000001</v>
      </c>
    </row>
    <row r="29" spans="1:32" ht="30" customHeight="1" thickBot="1" x14ac:dyDescent="0.3">
      <c r="A29" s="2"/>
      <c r="B29" s="2"/>
      <c r="C29" s="2"/>
      <c r="D29" s="2"/>
      <c r="E29" s="2"/>
      <c r="F29" s="2" t="s">
        <v>217</v>
      </c>
      <c r="G29" s="2"/>
      <c r="H29" s="136">
        <v>0</v>
      </c>
      <c r="I29" s="6"/>
      <c r="J29" s="136">
        <v>0</v>
      </c>
      <c r="K29" s="6"/>
      <c r="L29" s="136">
        <v>0</v>
      </c>
      <c r="M29" s="6"/>
      <c r="N29" s="136">
        <v>0</v>
      </c>
      <c r="O29" s="6"/>
      <c r="P29" s="136">
        <v>0</v>
      </c>
      <c r="Q29" s="6"/>
      <c r="R29" s="136">
        <v>1055.5999999999999</v>
      </c>
      <c r="S29" s="6"/>
      <c r="T29" s="136">
        <v>0</v>
      </c>
      <c r="U29" s="6"/>
      <c r="V29" s="136">
        <v>0</v>
      </c>
      <c r="W29" s="6"/>
      <c r="X29" s="136">
        <v>0</v>
      </c>
      <c r="Y29" s="6"/>
      <c r="Z29" s="136">
        <v>0</v>
      </c>
      <c r="AA29" s="6"/>
      <c r="AB29" s="136">
        <v>0</v>
      </c>
      <c r="AC29" s="6"/>
      <c r="AD29" s="136">
        <v>0</v>
      </c>
      <c r="AE29" s="6"/>
      <c r="AF29" s="136">
        <f t="shared" si="2"/>
        <v>1055.5999999999999</v>
      </c>
    </row>
    <row r="30" spans="1:32" ht="15.75" thickBot="1" x14ac:dyDescent="0.3">
      <c r="A30" s="2"/>
      <c r="B30" s="2"/>
      <c r="C30" s="2"/>
      <c r="D30" s="2"/>
      <c r="E30" s="2" t="s">
        <v>34</v>
      </c>
      <c r="F30" s="2"/>
      <c r="G30" s="2"/>
      <c r="H30" s="149">
        <f>ROUND(H4+H9+H16+H24+SUM(H28:H29),5)</f>
        <v>64945.51</v>
      </c>
      <c r="I30" s="6"/>
      <c r="J30" s="149">
        <f>ROUND(J4+J9+J16+J24+SUM(J28:J29),5)</f>
        <v>65652.84</v>
      </c>
      <c r="K30" s="6"/>
      <c r="L30" s="149">
        <f>ROUND(L4+L9+L16+L24+SUM(L28:L29),5)</f>
        <v>65563.62</v>
      </c>
      <c r="M30" s="6"/>
      <c r="N30" s="149">
        <f>ROUND(N4+N9+N16+N24+SUM(N28:N29),5)</f>
        <v>71370.850000000006</v>
      </c>
      <c r="O30" s="6"/>
      <c r="P30" s="149">
        <f>ROUND(P4+P9+P16+P24+SUM(P28:P29),5)</f>
        <v>65033.9</v>
      </c>
      <c r="Q30" s="6"/>
      <c r="R30" s="149">
        <f>ROUND(R4+R9+R16+R24+SUM(R28:R29),5)</f>
        <v>66360.39</v>
      </c>
      <c r="S30" s="6"/>
      <c r="T30" s="149">
        <f>ROUND(T4+T9+T16+T24+SUM(T28:T29),5)</f>
        <v>74442.28</v>
      </c>
      <c r="U30" s="6"/>
      <c r="V30" s="149">
        <f>ROUND(V4+V9+V16+V24+SUM(V28:V29),5)</f>
        <v>65309.97</v>
      </c>
      <c r="W30" s="6"/>
      <c r="X30" s="149">
        <f>ROUND(X4+X9+X16+X24+SUM(X28:X29),5)</f>
        <v>69935.97</v>
      </c>
      <c r="Y30" s="6"/>
      <c r="Z30" s="149">
        <f>ROUND(Z4+Z9+Z16+Z24+SUM(Z28:Z29),5)</f>
        <v>78686.2</v>
      </c>
      <c r="AA30" s="6"/>
      <c r="AB30" s="149">
        <f>ROUND(AB4+AB9+AB16+AB24+SUM(AB28:AB29),5)</f>
        <v>65224.41</v>
      </c>
      <c r="AC30" s="6"/>
      <c r="AD30" s="149">
        <f>ROUND(AD4+AD9+AD16+AD24+SUM(AD28:AD29),5)</f>
        <v>65224.41</v>
      </c>
      <c r="AE30" s="6"/>
      <c r="AF30" s="149">
        <f t="shared" si="2"/>
        <v>817750.35</v>
      </c>
    </row>
    <row r="31" spans="1:32" ht="30" customHeight="1" thickBot="1" x14ac:dyDescent="0.3">
      <c r="A31" s="2"/>
      <c r="B31" s="2"/>
      <c r="C31" s="2"/>
      <c r="D31" s="2" t="s">
        <v>34</v>
      </c>
      <c r="E31" s="2"/>
      <c r="F31" s="2"/>
      <c r="G31" s="2"/>
      <c r="H31" s="150">
        <f>ROUND(H3+H30,5)</f>
        <v>64945.51</v>
      </c>
      <c r="I31" s="6"/>
      <c r="J31" s="150">
        <f>ROUND(J3+J30,5)</f>
        <v>65652.84</v>
      </c>
      <c r="K31" s="6"/>
      <c r="L31" s="150">
        <f>ROUND(L3+L30,5)</f>
        <v>65563.62</v>
      </c>
      <c r="M31" s="6"/>
      <c r="N31" s="150">
        <f>ROUND(N3+N30,5)</f>
        <v>71370.850000000006</v>
      </c>
      <c r="O31" s="6"/>
      <c r="P31" s="150">
        <f>ROUND(P3+P30,5)</f>
        <v>65033.9</v>
      </c>
      <c r="Q31" s="6"/>
      <c r="R31" s="150">
        <f>ROUND(R3+R30,5)</f>
        <v>66360.39</v>
      </c>
      <c r="S31" s="6"/>
      <c r="T31" s="150">
        <f>ROUND(T3+T30,5)</f>
        <v>74442.28</v>
      </c>
      <c r="U31" s="6"/>
      <c r="V31" s="150">
        <f>ROUND(V3+V30,5)</f>
        <v>65309.97</v>
      </c>
      <c r="W31" s="6"/>
      <c r="X31" s="150">
        <f>ROUND(X3+X30,5)</f>
        <v>69935.97</v>
      </c>
      <c r="Y31" s="6"/>
      <c r="Z31" s="150">
        <f>ROUND(Z3+Z30,5)</f>
        <v>78686.2</v>
      </c>
      <c r="AA31" s="6"/>
      <c r="AB31" s="150">
        <f>ROUND(AB3+AB30,5)</f>
        <v>65224.41</v>
      </c>
      <c r="AC31" s="6"/>
      <c r="AD31" s="150">
        <f>ROUND(AD3+AD30,5)</f>
        <v>65224.41</v>
      </c>
      <c r="AE31" s="6"/>
      <c r="AF31" s="150">
        <f t="shared" si="2"/>
        <v>817750.35</v>
      </c>
    </row>
    <row r="32" spans="1:32" ht="30" customHeight="1" x14ac:dyDescent="0.25">
      <c r="A32" s="2"/>
      <c r="B32" s="2"/>
      <c r="C32" s="2" t="s">
        <v>35</v>
      </c>
      <c r="D32" s="2"/>
      <c r="E32" s="2"/>
      <c r="F32" s="2"/>
      <c r="G32" s="2"/>
      <c r="H32" s="135">
        <f>H31</f>
        <v>64945.51</v>
      </c>
      <c r="I32" s="6"/>
      <c r="J32" s="135">
        <f>J31</f>
        <v>65652.84</v>
      </c>
      <c r="K32" s="6"/>
      <c r="L32" s="135">
        <f>L31</f>
        <v>65563.62</v>
      </c>
      <c r="M32" s="6"/>
      <c r="N32" s="135">
        <f>N31</f>
        <v>71370.850000000006</v>
      </c>
      <c r="O32" s="6"/>
      <c r="P32" s="135">
        <f>P31</f>
        <v>65033.9</v>
      </c>
      <c r="Q32" s="6"/>
      <c r="R32" s="135">
        <f>R31</f>
        <v>66360.39</v>
      </c>
      <c r="S32" s="6"/>
      <c r="T32" s="135">
        <f>T31</f>
        <v>74442.28</v>
      </c>
      <c r="U32" s="6"/>
      <c r="V32" s="135">
        <f>V31</f>
        <v>65309.97</v>
      </c>
      <c r="W32" s="6"/>
      <c r="X32" s="135">
        <f>X31</f>
        <v>69935.97</v>
      </c>
      <c r="Y32" s="6"/>
      <c r="Z32" s="135">
        <f>Z31</f>
        <v>78686.2</v>
      </c>
      <c r="AA32" s="6"/>
      <c r="AB32" s="135">
        <f>AB31</f>
        <v>65224.41</v>
      </c>
      <c r="AC32" s="6"/>
      <c r="AD32" s="135">
        <f>AD31</f>
        <v>65224.41</v>
      </c>
      <c r="AE32" s="6"/>
      <c r="AF32" s="135">
        <f t="shared" si="2"/>
        <v>817750.35</v>
      </c>
    </row>
    <row r="33" spans="1:32" ht="30" customHeight="1" x14ac:dyDescent="0.25">
      <c r="A33" s="2"/>
      <c r="B33" s="2"/>
      <c r="C33" s="2"/>
      <c r="D33" s="2" t="s">
        <v>36</v>
      </c>
      <c r="E33" s="2"/>
      <c r="F33" s="2"/>
      <c r="G33" s="2"/>
      <c r="H33" s="135"/>
      <c r="I33" s="6"/>
      <c r="J33" s="135"/>
      <c r="K33" s="6"/>
      <c r="L33" s="135"/>
      <c r="M33" s="6"/>
      <c r="N33" s="135"/>
      <c r="O33" s="6"/>
      <c r="P33" s="135"/>
      <c r="Q33" s="6"/>
      <c r="R33" s="135"/>
      <c r="S33" s="6"/>
      <c r="T33" s="135"/>
      <c r="U33" s="6"/>
      <c r="V33" s="135"/>
      <c r="W33" s="6"/>
      <c r="X33" s="135"/>
      <c r="Y33" s="6"/>
      <c r="Z33" s="135"/>
      <c r="AA33" s="6"/>
      <c r="AB33" s="135"/>
      <c r="AC33" s="6"/>
      <c r="AD33" s="135"/>
      <c r="AE33" s="6"/>
      <c r="AF33" s="135"/>
    </row>
    <row r="34" spans="1:32" x14ac:dyDescent="0.25">
      <c r="A34" s="2"/>
      <c r="B34" s="2"/>
      <c r="C34" s="2"/>
      <c r="D34" s="2"/>
      <c r="E34" s="2" t="s">
        <v>37</v>
      </c>
      <c r="F34" s="2"/>
      <c r="G34" s="2"/>
      <c r="H34" s="135"/>
      <c r="I34" s="6"/>
      <c r="J34" s="135"/>
      <c r="K34" s="6"/>
      <c r="L34" s="135"/>
      <c r="M34" s="6"/>
      <c r="N34" s="135"/>
      <c r="O34" s="6"/>
      <c r="P34" s="135"/>
      <c r="Q34" s="6"/>
      <c r="R34" s="135"/>
      <c r="S34" s="6"/>
      <c r="T34" s="135"/>
      <c r="U34" s="6"/>
      <c r="V34" s="135"/>
      <c r="W34" s="6"/>
      <c r="X34" s="135"/>
      <c r="Y34" s="6"/>
      <c r="Z34" s="135"/>
      <c r="AA34" s="6"/>
      <c r="AB34" s="135"/>
      <c r="AC34" s="6"/>
      <c r="AD34" s="135"/>
      <c r="AE34" s="6"/>
      <c r="AF34" s="135"/>
    </row>
    <row r="35" spans="1:32" x14ac:dyDescent="0.25">
      <c r="A35" s="2"/>
      <c r="B35" s="2"/>
      <c r="C35" s="2"/>
      <c r="D35" s="2"/>
      <c r="E35" s="2"/>
      <c r="F35" s="2" t="s">
        <v>38</v>
      </c>
      <c r="G35" s="2"/>
      <c r="H35" s="135">
        <v>216.25</v>
      </c>
      <c r="I35" s="6"/>
      <c r="J35" s="135">
        <v>244.41</v>
      </c>
      <c r="K35" s="6"/>
      <c r="L35" s="135">
        <v>239.79</v>
      </c>
      <c r="M35" s="6"/>
      <c r="N35" s="135">
        <v>231.09</v>
      </c>
      <c r="O35" s="6"/>
      <c r="P35" s="135">
        <v>245.72</v>
      </c>
      <c r="Q35" s="6"/>
      <c r="R35" s="135">
        <v>239.58</v>
      </c>
      <c r="S35" s="6"/>
      <c r="T35" s="135">
        <v>249.38</v>
      </c>
      <c r="U35" s="6"/>
      <c r="V35" s="135">
        <v>362.32</v>
      </c>
      <c r="W35" s="6"/>
      <c r="X35" s="135">
        <v>257.06</v>
      </c>
      <c r="Y35" s="6"/>
      <c r="Z35" s="135">
        <v>238</v>
      </c>
      <c r="AA35" s="6"/>
      <c r="AB35" s="135">
        <v>262.61</v>
      </c>
      <c r="AC35" s="6"/>
      <c r="AD35" s="135">
        <v>243.02</v>
      </c>
      <c r="AE35" s="6"/>
      <c r="AF35" s="135">
        <f t="shared" ref="AF35:AF42" si="3">ROUND(SUM(H35:AD35),5)</f>
        <v>3029.23</v>
      </c>
    </row>
    <row r="36" spans="1:32" x14ac:dyDescent="0.25">
      <c r="A36" s="2"/>
      <c r="B36" s="2"/>
      <c r="C36" s="2"/>
      <c r="D36" s="2"/>
      <c r="E36" s="2"/>
      <c r="F36" s="2" t="s">
        <v>39</v>
      </c>
      <c r="G36" s="2"/>
      <c r="H36" s="135">
        <v>3896.26</v>
      </c>
      <c r="I36" s="6"/>
      <c r="J36" s="135">
        <v>3896.26</v>
      </c>
      <c r="K36" s="6"/>
      <c r="L36" s="135">
        <v>3896.26</v>
      </c>
      <c r="M36" s="6"/>
      <c r="N36" s="135">
        <v>4364.1400000000003</v>
      </c>
      <c r="O36" s="6"/>
      <c r="P36" s="135">
        <v>3896.26</v>
      </c>
      <c r="Q36" s="6"/>
      <c r="R36" s="135">
        <v>3896.26</v>
      </c>
      <c r="S36" s="6"/>
      <c r="T36" s="135">
        <v>4130.2</v>
      </c>
      <c r="U36" s="6"/>
      <c r="V36" s="135">
        <v>3896.26</v>
      </c>
      <c r="W36" s="6"/>
      <c r="X36" s="135">
        <v>3896.26</v>
      </c>
      <c r="Y36" s="6"/>
      <c r="Z36" s="135">
        <v>3896.26</v>
      </c>
      <c r="AA36" s="6"/>
      <c r="AB36" s="135">
        <v>5065.96</v>
      </c>
      <c r="AC36" s="6"/>
      <c r="AD36" s="135">
        <v>3912.12</v>
      </c>
      <c r="AE36" s="6"/>
      <c r="AF36" s="135">
        <f t="shared" si="3"/>
        <v>48642.5</v>
      </c>
    </row>
    <row r="37" spans="1:32" x14ac:dyDescent="0.25">
      <c r="A37" s="2"/>
      <c r="B37" s="2"/>
      <c r="C37" s="2"/>
      <c r="D37" s="2"/>
      <c r="E37" s="2"/>
      <c r="F37" s="2" t="s">
        <v>40</v>
      </c>
      <c r="G37" s="2"/>
      <c r="H37" s="135">
        <v>3532</v>
      </c>
      <c r="I37" s="6"/>
      <c r="J37" s="135">
        <v>3532</v>
      </c>
      <c r="K37" s="6"/>
      <c r="L37" s="135">
        <v>3532</v>
      </c>
      <c r="M37" s="6"/>
      <c r="N37" s="135">
        <v>3532</v>
      </c>
      <c r="O37" s="6"/>
      <c r="P37" s="135">
        <v>3532</v>
      </c>
      <c r="Q37" s="6"/>
      <c r="R37" s="135">
        <v>3532</v>
      </c>
      <c r="S37" s="6"/>
      <c r="T37" s="135">
        <v>3532</v>
      </c>
      <c r="U37" s="6"/>
      <c r="V37" s="135">
        <v>3532</v>
      </c>
      <c r="W37" s="6"/>
      <c r="X37" s="135">
        <v>3532</v>
      </c>
      <c r="Y37" s="6"/>
      <c r="Z37" s="135">
        <v>3532</v>
      </c>
      <c r="AA37" s="6"/>
      <c r="AB37" s="135">
        <v>3532</v>
      </c>
      <c r="AC37" s="6"/>
      <c r="AD37" s="135">
        <v>3532</v>
      </c>
      <c r="AE37" s="6"/>
      <c r="AF37" s="135">
        <f t="shared" si="3"/>
        <v>42384</v>
      </c>
    </row>
    <row r="38" spans="1:32" x14ac:dyDescent="0.25">
      <c r="A38" s="2"/>
      <c r="B38" s="2"/>
      <c r="C38" s="2"/>
      <c r="D38" s="2"/>
      <c r="E38" s="2"/>
      <c r="F38" s="2" t="s">
        <v>41</v>
      </c>
      <c r="G38" s="2"/>
      <c r="H38" s="135">
        <v>1516.85</v>
      </c>
      <c r="I38" s="6"/>
      <c r="J38" s="135">
        <v>320</v>
      </c>
      <c r="K38" s="6"/>
      <c r="L38" s="135">
        <v>931.08</v>
      </c>
      <c r="M38" s="6"/>
      <c r="N38" s="135">
        <v>785.8</v>
      </c>
      <c r="O38" s="6"/>
      <c r="P38" s="135">
        <v>785</v>
      </c>
      <c r="Q38" s="6"/>
      <c r="R38" s="135">
        <v>925</v>
      </c>
      <c r="S38" s="6"/>
      <c r="T38" s="135">
        <v>0</v>
      </c>
      <c r="U38" s="6"/>
      <c r="V38" s="135">
        <v>0</v>
      </c>
      <c r="W38" s="6"/>
      <c r="X38" s="135">
        <v>0</v>
      </c>
      <c r="Y38" s="6"/>
      <c r="Z38" s="135">
        <v>0</v>
      </c>
      <c r="AA38" s="6"/>
      <c r="AB38" s="135">
        <v>0</v>
      </c>
      <c r="AC38" s="6"/>
      <c r="AD38" s="135">
        <v>650.16</v>
      </c>
      <c r="AE38" s="6"/>
      <c r="AF38" s="151">
        <f t="shared" si="3"/>
        <v>5913.89</v>
      </c>
    </row>
    <row r="39" spans="1:32" x14ac:dyDescent="0.25">
      <c r="A39" s="2"/>
      <c r="B39" s="2"/>
      <c r="C39" s="2"/>
      <c r="D39" s="2"/>
      <c r="E39" s="2"/>
      <c r="F39" s="2" t="s">
        <v>42</v>
      </c>
      <c r="G39" s="2"/>
      <c r="H39" s="135">
        <v>163.12</v>
      </c>
      <c r="I39" s="6"/>
      <c r="J39" s="135">
        <v>-12218.15</v>
      </c>
      <c r="K39" s="6"/>
      <c r="L39" s="135">
        <v>466</v>
      </c>
      <c r="M39" s="6"/>
      <c r="N39" s="135">
        <v>917.5</v>
      </c>
      <c r="O39" s="6"/>
      <c r="P39" s="135">
        <v>0</v>
      </c>
      <c r="Q39" s="6"/>
      <c r="R39" s="135">
        <v>4102.5</v>
      </c>
      <c r="S39" s="6"/>
      <c r="T39" s="135">
        <v>1121.5</v>
      </c>
      <c r="U39" s="6"/>
      <c r="V39" s="135">
        <v>0</v>
      </c>
      <c r="W39" s="6"/>
      <c r="X39" s="135">
        <v>303</v>
      </c>
      <c r="Y39" s="6"/>
      <c r="Z39" s="135">
        <v>193.5</v>
      </c>
      <c r="AA39" s="6"/>
      <c r="AB39" s="135">
        <v>1770.24</v>
      </c>
      <c r="AC39" s="6"/>
      <c r="AD39" s="135">
        <v>0</v>
      </c>
      <c r="AE39" s="6"/>
      <c r="AF39" s="135">
        <f t="shared" si="3"/>
        <v>-3180.79</v>
      </c>
    </row>
    <row r="40" spans="1:32" x14ac:dyDescent="0.25">
      <c r="A40" s="2"/>
      <c r="B40" s="2"/>
      <c r="C40" s="2"/>
      <c r="D40" s="2"/>
      <c r="E40" s="2"/>
      <c r="F40" s="2" t="s">
        <v>43</v>
      </c>
      <c r="G40" s="2"/>
      <c r="H40" s="135">
        <v>0</v>
      </c>
      <c r="I40" s="6"/>
      <c r="J40" s="135">
        <v>0</v>
      </c>
      <c r="K40" s="6"/>
      <c r="L40" s="135">
        <v>0</v>
      </c>
      <c r="M40" s="6"/>
      <c r="N40" s="135">
        <v>0</v>
      </c>
      <c r="O40" s="6"/>
      <c r="P40" s="135">
        <v>0</v>
      </c>
      <c r="Q40" s="6"/>
      <c r="R40" s="135">
        <v>0</v>
      </c>
      <c r="S40" s="6"/>
      <c r="T40" s="135">
        <v>47.79</v>
      </c>
      <c r="U40" s="6"/>
      <c r="V40" s="135">
        <v>0</v>
      </c>
      <c r="W40" s="6"/>
      <c r="X40" s="135">
        <v>0</v>
      </c>
      <c r="Y40" s="6"/>
      <c r="Z40" s="135">
        <v>0</v>
      </c>
      <c r="AA40" s="6"/>
      <c r="AB40" s="135">
        <v>0</v>
      </c>
      <c r="AC40" s="6"/>
      <c r="AD40" s="135">
        <v>0</v>
      </c>
      <c r="AE40" s="6"/>
      <c r="AF40" s="135">
        <f t="shared" si="3"/>
        <v>47.79</v>
      </c>
    </row>
    <row r="41" spans="1:32" ht="15.75" thickBot="1" x14ac:dyDescent="0.3">
      <c r="A41" s="2"/>
      <c r="B41" s="2"/>
      <c r="C41" s="2"/>
      <c r="D41" s="2"/>
      <c r="E41" s="2"/>
      <c r="F41" s="2" t="s">
        <v>44</v>
      </c>
      <c r="G41" s="2"/>
      <c r="H41" s="147">
        <v>760</v>
      </c>
      <c r="I41" s="6"/>
      <c r="J41" s="147">
        <v>760</v>
      </c>
      <c r="K41" s="6"/>
      <c r="L41" s="147">
        <v>760</v>
      </c>
      <c r="M41" s="6"/>
      <c r="N41" s="147">
        <v>760</v>
      </c>
      <c r="O41" s="6"/>
      <c r="P41" s="147">
        <v>760</v>
      </c>
      <c r="Q41" s="6"/>
      <c r="R41" s="147">
        <v>760</v>
      </c>
      <c r="S41" s="6"/>
      <c r="T41" s="147">
        <v>760</v>
      </c>
      <c r="U41" s="6"/>
      <c r="V41" s="147">
        <v>760</v>
      </c>
      <c r="W41" s="6"/>
      <c r="X41" s="147">
        <v>760</v>
      </c>
      <c r="Y41" s="6"/>
      <c r="Z41" s="147">
        <v>760</v>
      </c>
      <c r="AA41" s="6"/>
      <c r="AB41" s="147">
        <v>760</v>
      </c>
      <c r="AC41" s="6"/>
      <c r="AD41" s="147">
        <v>760</v>
      </c>
      <c r="AE41" s="6"/>
      <c r="AF41" s="147">
        <f t="shared" si="3"/>
        <v>9120</v>
      </c>
    </row>
    <row r="42" spans="1:32" x14ac:dyDescent="0.25">
      <c r="A42" s="2"/>
      <c r="B42" s="2"/>
      <c r="C42" s="2"/>
      <c r="D42" s="2"/>
      <c r="E42" s="2" t="s">
        <v>45</v>
      </c>
      <c r="F42" s="2"/>
      <c r="G42" s="2"/>
      <c r="H42" s="135">
        <f>ROUND(SUM(H34:H41),5)</f>
        <v>10084.48</v>
      </c>
      <c r="I42" s="6"/>
      <c r="J42" s="135">
        <f>ROUND(SUM(J34:J41),5)</f>
        <v>-3465.48</v>
      </c>
      <c r="K42" s="6"/>
      <c r="L42" s="135">
        <f>ROUND(SUM(L34:L41),5)</f>
        <v>9825.1299999999992</v>
      </c>
      <c r="M42" s="6"/>
      <c r="N42" s="135">
        <f>ROUND(SUM(N34:N41),5)</f>
        <v>10590.53</v>
      </c>
      <c r="O42" s="6"/>
      <c r="P42" s="135">
        <f>ROUND(SUM(P34:P41),5)</f>
        <v>9218.98</v>
      </c>
      <c r="Q42" s="6"/>
      <c r="R42" s="135">
        <f>ROUND(SUM(R34:R41),5)</f>
        <v>13455.34</v>
      </c>
      <c r="S42" s="6"/>
      <c r="T42" s="135">
        <f>ROUND(SUM(T34:T41),5)</f>
        <v>9840.8700000000008</v>
      </c>
      <c r="U42" s="6"/>
      <c r="V42" s="135">
        <f>ROUND(SUM(V34:V41),5)</f>
        <v>8550.58</v>
      </c>
      <c r="W42" s="6"/>
      <c r="X42" s="135">
        <f>ROUND(SUM(X34:X41),5)</f>
        <v>8748.32</v>
      </c>
      <c r="Y42" s="6"/>
      <c r="Z42" s="135">
        <f>ROUND(SUM(Z34:Z41),5)</f>
        <v>8619.76</v>
      </c>
      <c r="AA42" s="6"/>
      <c r="AB42" s="135">
        <f>ROUND(SUM(AB34:AB41),5)</f>
        <v>11390.81</v>
      </c>
      <c r="AC42" s="6"/>
      <c r="AD42" s="135">
        <f>ROUND(SUM(AD34:AD41),5)</f>
        <v>9097.2999999999993</v>
      </c>
      <c r="AE42" s="6"/>
      <c r="AF42" s="135">
        <f t="shared" si="3"/>
        <v>105956.62</v>
      </c>
    </row>
    <row r="43" spans="1:32" ht="30" customHeight="1" x14ac:dyDescent="0.25">
      <c r="A43" s="2"/>
      <c r="B43" s="2"/>
      <c r="C43" s="2"/>
      <c r="D43" s="2"/>
      <c r="E43" s="2" t="s">
        <v>46</v>
      </c>
      <c r="F43" s="2"/>
      <c r="G43" s="2"/>
      <c r="H43" s="135"/>
      <c r="I43" s="6"/>
      <c r="J43" s="135"/>
      <c r="K43" s="6"/>
      <c r="L43" s="135"/>
      <c r="M43" s="6"/>
      <c r="N43" s="135"/>
      <c r="O43" s="6"/>
      <c r="P43" s="135"/>
      <c r="Q43" s="6"/>
      <c r="R43" s="135"/>
      <c r="S43" s="6"/>
      <c r="T43" s="135"/>
      <c r="U43" s="6"/>
      <c r="V43" s="135"/>
      <c r="W43" s="6"/>
      <c r="X43" s="135"/>
      <c r="Y43" s="6"/>
      <c r="Z43" s="135"/>
      <c r="AA43" s="6"/>
      <c r="AB43" s="135"/>
      <c r="AC43" s="6"/>
      <c r="AD43" s="135"/>
      <c r="AE43" s="6"/>
      <c r="AF43" s="135"/>
    </row>
    <row r="44" spans="1:32" x14ac:dyDescent="0.25">
      <c r="A44" s="2"/>
      <c r="B44" s="2"/>
      <c r="C44" s="2"/>
      <c r="D44" s="2"/>
      <c r="E44" s="2"/>
      <c r="F44" s="2" t="s">
        <v>47</v>
      </c>
      <c r="G44" s="2"/>
      <c r="H44" s="135">
        <v>6977</v>
      </c>
      <c r="I44" s="6"/>
      <c r="J44" s="135">
        <v>6977</v>
      </c>
      <c r="K44" s="6"/>
      <c r="L44" s="135">
        <v>6977</v>
      </c>
      <c r="M44" s="6"/>
      <c r="N44" s="135">
        <v>6977</v>
      </c>
      <c r="O44" s="6"/>
      <c r="P44" s="135">
        <v>6977</v>
      </c>
      <c r="Q44" s="6"/>
      <c r="R44" s="135">
        <v>6977</v>
      </c>
      <c r="S44" s="6"/>
      <c r="T44" s="135">
        <v>6977</v>
      </c>
      <c r="U44" s="6"/>
      <c r="V44" s="135">
        <v>6977</v>
      </c>
      <c r="W44" s="6"/>
      <c r="X44" s="135">
        <v>6977</v>
      </c>
      <c r="Y44" s="6"/>
      <c r="Z44" s="135">
        <v>6977</v>
      </c>
      <c r="AA44" s="6"/>
      <c r="AB44" s="135">
        <v>6977</v>
      </c>
      <c r="AC44" s="6"/>
      <c r="AD44" s="135">
        <v>6977</v>
      </c>
      <c r="AE44" s="6"/>
      <c r="AF44" s="135">
        <f>ROUND(SUM(H44:AD44),5)</f>
        <v>83724</v>
      </c>
    </row>
    <row r="45" spans="1:32" x14ac:dyDescent="0.25">
      <c r="A45" s="2"/>
      <c r="B45" s="2"/>
      <c r="C45" s="2"/>
      <c r="D45" s="2"/>
      <c r="E45" s="2"/>
      <c r="F45" s="2" t="s">
        <v>48</v>
      </c>
      <c r="G45" s="2"/>
      <c r="H45" s="135">
        <v>6911</v>
      </c>
      <c r="I45" s="6"/>
      <c r="J45" s="135">
        <v>6911</v>
      </c>
      <c r="K45" s="6"/>
      <c r="L45" s="135">
        <v>6911</v>
      </c>
      <c r="M45" s="6"/>
      <c r="N45" s="135">
        <v>6911</v>
      </c>
      <c r="O45" s="6"/>
      <c r="P45" s="135">
        <v>6911</v>
      </c>
      <c r="Q45" s="6"/>
      <c r="R45" s="135">
        <v>6911</v>
      </c>
      <c r="S45" s="6"/>
      <c r="T45" s="135">
        <v>6911</v>
      </c>
      <c r="U45" s="6"/>
      <c r="V45" s="135">
        <v>6911</v>
      </c>
      <c r="W45" s="6"/>
      <c r="X45" s="135">
        <v>6911</v>
      </c>
      <c r="Y45" s="6"/>
      <c r="Z45" s="135">
        <v>6911</v>
      </c>
      <c r="AA45" s="6"/>
      <c r="AB45" s="135">
        <v>6911</v>
      </c>
      <c r="AC45" s="6"/>
      <c r="AD45" s="135">
        <v>6911</v>
      </c>
      <c r="AE45" s="6"/>
      <c r="AF45" s="135">
        <f>ROUND(SUM(H45:AD45),5)</f>
        <v>82932</v>
      </c>
    </row>
    <row r="46" spans="1:32" ht="15.75" thickBot="1" x14ac:dyDescent="0.3">
      <c r="A46" s="2"/>
      <c r="B46" s="2"/>
      <c r="C46" s="2"/>
      <c r="D46" s="2"/>
      <c r="E46" s="2"/>
      <c r="F46" s="2" t="s">
        <v>49</v>
      </c>
      <c r="G46" s="2"/>
      <c r="H46" s="147">
        <v>6695</v>
      </c>
      <c r="I46" s="6"/>
      <c r="J46" s="147">
        <v>6695</v>
      </c>
      <c r="K46" s="6"/>
      <c r="L46" s="147">
        <v>6695</v>
      </c>
      <c r="M46" s="6"/>
      <c r="N46" s="147">
        <v>6695</v>
      </c>
      <c r="O46" s="6"/>
      <c r="P46" s="147">
        <v>6695</v>
      </c>
      <c r="Q46" s="6"/>
      <c r="R46" s="147">
        <v>6695</v>
      </c>
      <c r="S46" s="6"/>
      <c r="T46" s="147">
        <v>6695</v>
      </c>
      <c r="U46" s="6"/>
      <c r="V46" s="147">
        <v>6695</v>
      </c>
      <c r="W46" s="6"/>
      <c r="X46" s="147">
        <v>6695</v>
      </c>
      <c r="Y46" s="6"/>
      <c r="Z46" s="147">
        <v>6695</v>
      </c>
      <c r="AA46" s="6"/>
      <c r="AB46" s="147">
        <v>6695</v>
      </c>
      <c r="AC46" s="6"/>
      <c r="AD46" s="147">
        <v>6695</v>
      </c>
      <c r="AE46" s="6"/>
      <c r="AF46" s="147">
        <f>ROUND(SUM(H46:AD46),5)</f>
        <v>80340</v>
      </c>
    </row>
    <row r="47" spans="1:32" x14ac:dyDescent="0.25">
      <c r="A47" s="2"/>
      <c r="B47" s="2"/>
      <c r="C47" s="2"/>
      <c r="D47" s="2"/>
      <c r="E47" s="2" t="s">
        <v>50</v>
      </c>
      <c r="F47" s="2"/>
      <c r="G47" s="2"/>
      <c r="H47" s="135">
        <f>ROUND(SUM(H43:H46),5)</f>
        <v>20583</v>
      </c>
      <c r="I47" s="6"/>
      <c r="J47" s="135">
        <f>ROUND(SUM(J43:J46),5)</f>
        <v>20583</v>
      </c>
      <c r="K47" s="6"/>
      <c r="L47" s="135">
        <f>ROUND(SUM(L43:L46),5)</f>
        <v>20583</v>
      </c>
      <c r="M47" s="6"/>
      <c r="N47" s="135">
        <f>ROUND(SUM(N43:N46),5)</f>
        <v>20583</v>
      </c>
      <c r="O47" s="6"/>
      <c r="P47" s="135">
        <f>ROUND(SUM(P43:P46),5)</f>
        <v>20583</v>
      </c>
      <c r="Q47" s="6"/>
      <c r="R47" s="135">
        <f>ROUND(SUM(R43:R46),5)</f>
        <v>20583</v>
      </c>
      <c r="S47" s="6"/>
      <c r="T47" s="135">
        <f>ROUND(SUM(T43:T46),5)</f>
        <v>20583</v>
      </c>
      <c r="U47" s="6"/>
      <c r="V47" s="135">
        <f>ROUND(SUM(V43:V46),5)</f>
        <v>20583</v>
      </c>
      <c r="W47" s="6"/>
      <c r="X47" s="135">
        <f>ROUND(SUM(X43:X46),5)</f>
        <v>20583</v>
      </c>
      <c r="Y47" s="6"/>
      <c r="Z47" s="135">
        <f>ROUND(SUM(Z43:Z46),5)</f>
        <v>20583</v>
      </c>
      <c r="AA47" s="6"/>
      <c r="AB47" s="135">
        <f>ROUND(SUM(AB43:AB46),5)</f>
        <v>20583</v>
      </c>
      <c r="AC47" s="6"/>
      <c r="AD47" s="135">
        <f>ROUND(SUM(AD43:AD46),5)</f>
        <v>20583</v>
      </c>
      <c r="AE47" s="6"/>
      <c r="AF47" s="135">
        <f>ROUND(SUM(H47:AD47),5)</f>
        <v>246996</v>
      </c>
    </row>
    <row r="48" spans="1:32" ht="30" customHeight="1" x14ac:dyDescent="0.25">
      <c r="A48" s="2"/>
      <c r="B48" s="2"/>
      <c r="C48" s="2"/>
      <c r="D48" s="2"/>
      <c r="E48" s="2" t="s">
        <v>51</v>
      </c>
      <c r="F48" s="2"/>
      <c r="G48" s="2"/>
      <c r="H48" s="135"/>
      <c r="I48" s="6"/>
      <c r="J48" s="135"/>
      <c r="K48" s="6"/>
      <c r="L48" s="135"/>
      <c r="M48" s="6"/>
      <c r="N48" s="135"/>
      <c r="O48" s="6"/>
      <c r="P48" s="135"/>
      <c r="Q48" s="6"/>
      <c r="R48" s="135"/>
      <c r="S48" s="6"/>
      <c r="T48" s="135"/>
      <c r="U48" s="6"/>
      <c r="V48" s="135"/>
      <c r="W48" s="6"/>
      <c r="X48" s="135"/>
      <c r="Y48" s="6"/>
      <c r="Z48" s="135"/>
      <c r="AA48" s="6"/>
      <c r="AB48" s="135"/>
      <c r="AC48" s="6"/>
      <c r="AD48" s="135"/>
      <c r="AE48" s="6"/>
      <c r="AF48" s="135"/>
    </row>
    <row r="49" spans="1:32" x14ac:dyDescent="0.25">
      <c r="A49" s="2"/>
      <c r="B49" s="2"/>
      <c r="C49" s="2"/>
      <c r="D49" s="2"/>
      <c r="E49" s="2"/>
      <c r="F49" s="2" t="s">
        <v>52</v>
      </c>
      <c r="G49" s="2"/>
      <c r="H49" s="135">
        <v>283.86</v>
      </c>
      <c r="I49" s="6"/>
      <c r="J49" s="135">
        <v>349.22</v>
      </c>
      <c r="K49" s="6"/>
      <c r="L49" s="135">
        <v>1983.25</v>
      </c>
      <c r="M49" s="6"/>
      <c r="N49" s="135">
        <v>483.6</v>
      </c>
      <c r="O49" s="6"/>
      <c r="P49" s="135">
        <v>3065.15</v>
      </c>
      <c r="Q49" s="6"/>
      <c r="R49" s="135">
        <v>241.1</v>
      </c>
      <c r="S49" s="6"/>
      <c r="T49" s="135">
        <v>2702.72</v>
      </c>
      <c r="U49" s="6"/>
      <c r="V49" s="135">
        <v>160.1</v>
      </c>
      <c r="W49" s="6"/>
      <c r="X49" s="135">
        <v>7809.58</v>
      </c>
      <c r="Y49" s="6"/>
      <c r="Z49" s="135">
        <v>1963.76</v>
      </c>
      <c r="AA49" s="6"/>
      <c r="AB49" s="135">
        <v>1562.87</v>
      </c>
      <c r="AC49" s="6"/>
      <c r="AD49" s="135">
        <v>961.87</v>
      </c>
      <c r="AE49" s="6"/>
      <c r="AF49" s="135">
        <f>ROUND(SUM(H49:AD49),5)</f>
        <v>21567.08</v>
      </c>
    </row>
    <row r="50" spans="1:32" x14ac:dyDescent="0.25">
      <c r="A50" s="2"/>
      <c r="B50" s="2"/>
      <c r="C50" s="2"/>
      <c r="D50" s="2"/>
      <c r="E50" s="2"/>
      <c r="F50" s="2" t="s">
        <v>53</v>
      </c>
      <c r="G50" s="2"/>
      <c r="H50" s="135"/>
      <c r="I50" s="6"/>
      <c r="J50" s="135"/>
      <c r="K50" s="6"/>
      <c r="L50" s="135"/>
      <c r="M50" s="6"/>
      <c r="N50" s="135"/>
      <c r="O50" s="6"/>
      <c r="P50" s="135"/>
      <c r="Q50" s="6"/>
      <c r="R50" s="135"/>
      <c r="S50" s="6"/>
      <c r="T50" s="135"/>
      <c r="U50" s="6"/>
      <c r="V50" s="135"/>
      <c r="W50" s="6"/>
      <c r="X50" s="135"/>
      <c r="Y50" s="6"/>
      <c r="Z50" s="135"/>
      <c r="AA50" s="6"/>
      <c r="AB50" s="135"/>
      <c r="AC50" s="6"/>
      <c r="AD50" s="135"/>
      <c r="AE50" s="6"/>
      <c r="AF50" s="135"/>
    </row>
    <row r="51" spans="1:32" x14ac:dyDescent="0.25">
      <c r="A51" s="2"/>
      <c r="B51" s="2"/>
      <c r="C51" s="2"/>
      <c r="D51" s="2"/>
      <c r="E51" s="2"/>
      <c r="F51" s="2"/>
      <c r="G51" s="2" t="s">
        <v>54</v>
      </c>
      <c r="H51" s="135">
        <v>655.32000000000005</v>
      </c>
      <c r="I51" s="6"/>
      <c r="J51" s="135">
        <v>559.1</v>
      </c>
      <c r="K51" s="6"/>
      <c r="L51" s="135">
        <v>715.18</v>
      </c>
      <c r="M51" s="6"/>
      <c r="N51" s="135">
        <v>279.55</v>
      </c>
      <c r="O51" s="6"/>
      <c r="P51" s="135">
        <v>420.66</v>
      </c>
      <c r="Q51" s="6"/>
      <c r="R51" s="135">
        <v>1698.86</v>
      </c>
      <c r="S51" s="6"/>
      <c r="T51" s="135">
        <v>500.65</v>
      </c>
      <c r="U51" s="6"/>
      <c r="V51" s="135">
        <v>862.97</v>
      </c>
      <c r="W51" s="6"/>
      <c r="X51" s="135">
        <v>0</v>
      </c>
      <c r="Y51" s="6"/>
      <c r="Z51" s="135">
        <v>673.88</v>
      </c>
      <c r="AA51" s="6"/>
      <c r="AB51" s="135">
        <v>173.71</v>
      </c>
      <c r="AC51" s="6"/>
      <c r="AD51" s="135">
        <v>0</v>
      </c>
      <c r="AE51" s="6"/>
      <c r="AF51" s="135">
        <f t="shared" ref="AF51:AF58" si="4">ROUND(SUM(H51:AD51),5)</f>
        <v>6539.88</v>
      </c>
    </row>
    <row r="52" spans="1:32" x14ac:dyDescent="0.25">
      <c r="A52" s="2"/>
      <c r="B52" s="2"/>
      <c r="C52" s="2"/>
      <c r="D52" s="2"/>
      <c r="E52" s="2"/>
      <c r="F52" s="2"/>
      <c r="G52" s="2" t="s">
        <v>55</v>
      </c>
      <c r="H52" s="135">
        <v>141.87</v>
      </c>
      <c r="I52" s="6"/>
      <c r="J52" s="135">
        <v>0</v>
      </c>
      <c r="K52" s="6"/>
      <c r="L52" s="135">
        <v>141.87</v>
      </c>
      <c r="M52" s="6"/>
      <c r="N52" s="135">
        <v>141.87</v>
      </c>
      <c r="O52" s="6"/>
      <c r="P52" s="135">
        <v>500</v>
      </c>
      <c r="Q52" s="6"/>
      <c r="R52" s="135">
        <v>455.8</v>
      </c>
      <c r="S52" s="6"/>
      <c r="T52" s="135">
        <v>150.38</v>
      </c>
      <c r="U52" s="6"/>
      <c r="V52" s="135">
        <v>0</v>
      </c>
      <c r="W52" s="6"/>
      <c r="X52" s="135">
        <v>59.53</v>
      </c>
      <c r="Y52" s="6"/>
      <c r="Z52" s="135">
        <v>0</v>
      </c>
      <c r="AA52" s="6"/>
      <c r="AB52" s="135">
        <v>751.9</v>
      </c>
      <c r="AC52" s="6"/>
      <c r="AD52" s="135">
        <v>0</v>
      </c>
      <c r="AE52" s="6"/>
      <c r="AF52" s="135">
        <f t="shared" si="4"/>
        <v>2343.2199999999998</v>
      </c>
    </row>
    <row r="53" spans="1:32" ht="15.75" thickBot="1" x14ac:dyDescent="0.3">
      <c r="A53" s="2"/>
      <c r="B53" s="2"/>
      <c r="C53" s="2"/>
      <c r="D53" s="2"/>
      <c r="E53" s="2"/>
      <c r="F53" s="2"/>
      <c r="G53" s="2" t="s">
        <v>56</v>
      </c>
      <c r="H53" s="147">
        <v>0</v>
      </c>
      <c r="I53" s="6"/>
      <c r="J53" s="147">
        <v>0</v>
      </c>
      <c r="K53" s="6"/>
      <c r="L53" s="147">
        <v>0</v>
      </c>
      <c r="M53" s="6"/>
      <c r="N53" s="147">
        <v>0</v>
      </c>
      <c r="O53" s="6"/>
      <c r="P53" s="147">
        <v>0</v>
      </c>
      <c r="Q53" s="6"/>
      <c r="R53" s="147">
        <v>0</v>
      </c>
      <c r="S53" s="6"/>
      <c r="T53" s="147">
        <v>2330</v>
      </c>
      <c r="U53" s="6"/>
      <c r="V53" s="147">
        <v>0</v>
      </c>
      <c r="W53" s="6"/>
      <c r="X53" s="147">
        <v>0</v>
      </c>
      <c r="Y53" s="6"/>
      <c r="Z53" s="147">
        <v>0</v>
      </c>
      <c r="AA53" s="6"/>
      <c r="AB53" s="147">
        <v>0</v>
      </c>
      <c r="AC53" s="6"/>
      <c r="AD53" s="147">
        <v>0</v>
      </c>
      <c r="AE53" s="6"/>
      <c r="AF53" s="147">
        <f t="shared" si="4"/>
        <v>2330</v>
      </c>
    </row>
    <row r="54" spans="1:32" x14ac:dyDescent="0.25">
      <c r="A54" s="2"/>
      <c r="B54" s="2"/>
      <c r="C54" s="2"/>
      <c r="D54" s="2"/>
      <c r="E54" s="2"/>
      <c r="F54" s="2" t="s">
        <v>57</v>
      </c>
      <c r="G54" s="2"/>
      <c r="H54" s="135">
        <f>ROUND(SUM(H50:H53),5)</f>
        <v>797.19</v>
      </c>
      <c r="I54" s="6"/>
      <c r="J54" s="135">
        <f>ROUND(SUM(J50:J53),5)</f>
        <v>559.1</v>
      </c>
      <c r="K54" s="6"/>
      <c r="L54" s="135">
        <f>ROUND(SUM(L50:L53),5)</f>
        <v>857.05</v>
      </c>
      <c r="M54" s="6"/>
      <c r="N54" s="135">
        <f>ROUND(SUM(N50:N53),5)</f>
        <v>421.42</v>
      </c>
      <c r="O54" s="6"/>
      <c r="P54" s="135">
        <f>ROUND(SUM(P50:P53),5)</f>
        <v>920.66</v>
      </c>
      <c r="Q54" s="6"/>
      <c r="R54" s="135">
        <f>ROUND(SUM(R50:R53),5)</f>
        <v>2154.66</v>
      </c>
      <c r="S54" s="6"/>
      <c r="T54" s="135">
        <f>ROUND(SUM(T50:T53),5)</f>
        <v>2981.03</v>
      </c>
      <c r="U54" s="6"/>
      <c r="V54" s="135">
        <f>ROUND(SUM(V50:V53),5)</f>
        <v>862.97</v>
      </c>
      <c r="W54" s="6"/>
      <c r="X54" s="135">
        <f>ROUND(SUM(X50:X53),5)</f>
        <v>59.53</v>
      </c>
      <c r="Y54" s="6"/>
      <c r="Z54" s="135">
        <f>ROUND(SUM(Z50:Z53),5)</f>
        <v>673.88</v>
      </c>
      <c r="AA54" s="6"/>
      <c r="AB54" s="135">
        <f>ROUND(SUM(AB50:AB53),5)</f>
        <v>925.61</v>
      </c>
      <c r="AC54" s="6"/>
      <c r="AD54" s="135">
        <f>ROUND(SUM(AD50:AD53),5)</f>
        <v>0</v>
      </c>
      <c r="AE54" s="6"/>
      <c r="AF54" s="135">
        <f t="shared" si="4"/>
        <v>11213.1</v>
      </c>
    </row>
    <row r="55" spans="1:32" ht="30" customHeight="1" x14ac:dyDescent="0.25">
      <c r="A55" s="2"/>
      <c r="B55" s="2"/>
      <c r="C55" s="2"/>
      <c r="D55" s="2"/>
      <c r="E55" s="2"/>
      <c r="F55" s="2" t="s">
        <v>58</v>
      </c>
      <c r="G55" s="2"/>
      <c r="H55" s="135">
        <v>541.9</v>
      </c>
      <c r="I55" s="6"/>
      <c r="J55" s="135">
        <v>1887.14</v>
      </c>
      <c r="K55" s="6"/>
      <c r="L55" s="135">
        <v>195.25</v>
      </c>
      <c r="M55" s="6"/>
      <c r="N55" s="135">
        <v>0</v>
      </c>
      <c r="O55" s="6"/>
      <c r="P55" s="135">
        <v>0</v>
      </c>
      <c r="Q55" s="6"/>
      <c r="R55" s="135">
        <v>0</v>
      </c>
      <c r="S55" s="6"/>
      <c r="T55" s="135">
        <v>585.13</v>
      </c>
      <c r="U55" s="6"/>
      <c r="V55" s="135">
        <v>0</v>
      </c>
      <c r="W55" s="6"/>
      <c r="X55" s="135">
        <v>0</v>
      </c>
      <c r="Y55" s="6"/>
      <c r="Z55" s="135">
        <v>253.57</v>
      </c>
      <c r="AA55" s="6"/>
      <c r="AB55" s="135">
        <v>0</v>
      </c>
      <c r="AC55" s="6"/>
      <c r="AD55" s="135">
        <v>0</v>
      </c>
      <c r="AE55" s="6"/>
      <c r="AF55" s="135">
        <f t="shared" si="4"/>
        <v>3462.99</v>
      </c>
    </row>
    <row r="56" spans="1:32" x14ac:dyDescent="0.25">
      <c r="A56" s="2"/>
      <c r="B56" s="2"/>
      <c r="C56" s="2"/>
      <c r="D56" s="2"/>
      <c r="E56" s="2"/>
      <c r="F56" s="2" t="s">
        <v>59</v>
      </c>
      <c r="G56" s="2"/>
      <c r="H56" s="135">
        <v>1248</v>
      </c>
      <c r="I56" s="6"/>
      <c r="J56" s="135">
        <v>1248</v>
      </c>
      <c r="K56" s="6"/>
      <c r="L56" s="135">
        <v>1248</v>
      </c>
      <c r="M56" s="6"/>
      <c r="N56" s="135">
        <v>1248</v>
      </c>
      <c r="O56" s="6"/>
      <c r="P56" s="135">
        <v>1248</v>
      </c>
      <c r="Q56" s="6"/>
      <c r="R56" s="135">
        <v>1248</v>
      </c>
      <c r="S56" s="6"/>
      <c r="T56" s="135">
        <v>1248</v>
      </c>
      <c r="U56" s="6"/>
      <c r="V56" s="135">
        <v>1248</v>
      </c>
      <c r="W56" s="6"/>
      <c r="X56" s="135">
        <v>1248</v>
      </c>
      <c r="Y56" s="6"/>
      <c r="Z56" s="135">
        <v>1248</v>
      </c>
      <c r="AA56" s="6"/>
      <c r="AB56" s="135">
        <v>1248</v>
      </c>
      <c r="AC56" s="6"/>
      <c r="AD56" s="144">
        <v>1248</v>
      </c>
      <c r="AE56" s="6"/>
      <c r="AF56" s="135">
        <f t="shared" si="4"/>
        <v>14976</v>
      </c>
    </row>
    <row r="57" spans="1:32" x14ac:dyDescent="0.25">
      <c r="A57" s="2"/>
      <c r="B57" s="2"/>
      <c r="C57" s="2"/>
      <c r="D57" s="2"/>
      <c r="E57" s="2"/>
      <c r="F57" s="2" t="s">
        <v>60</v>
      </c>
      <c r="G57" s="2"/>
      <c r="H57" s="135">
        <v>54.34</v>
      </c>
      <c r="I57" s="6"/>
      <c r="J57" s="135">
        <v>0</v>
      </c>
      <c r="K57" s="6"/>
      <c r="L57" s="135">
        <v>0</v>
      </c>
      <c r="M57" s="6"/>
      <c r="N57" s="135">
        <v>0</v>
      </c>
      <c r="O57" s="6"/>
      <c r="P57" s="135">
        <v>0</v>
      </c>
      <c r="Q57" s="6"/>
      <c r="R57" s="135">
        <v>0</v>
      </c>
      <c r="S57" s="6"/>
      <c r="T57" s="135">
        <v>0</v>
      </c>
      <c r="U57" s="6"/>
      <c r="V57" s="135">
        <v>0</v>
      </c>
      <c r="W57" s="6"/>
      <c r="X57" s="135">
        <v>141.66999999999999</v>
      </c>
      <c r="Y57" s="6"/>
      <c r="Z57" s="135">
        <v>0</v>
      </c>
      <c r="AA57" s="6"/>
      <c r="AB57" s="135">
        <v>0</v>
      </c>
      <c r="AC57" s="6"/>
      <c r="AD57" s="135">
        <v>0</v>
      </c>
      <c r="AE57" s="6"/>
      <c r="AF57" s="135">
        <f t="shared" si="4"/>
        <v>196.01</v>
      </c>
    </row>
    <row r="58" spans="1:32" x14ac:dyDescent="0.25">
      <c r="A58" s="2"/>
      <c r="B58" s="2"/>
      <c r="C58" s="2"/>
      <c r="D58" s="2"/>
      <c r="E58" s="2"/>
      <c r="F58" s="2" t="s">
        <v>61</v>
      </c>
      <c r="G58" s="2"/>
      <c r="H58" s="135">
        <v>0</v>
      </c>
      <c r="I58" s="6"/>
      <c r="J58" s="135">
        <v>0</v>
      </c>
      <c r="K58" s="6"/>
      <c r="L58" s="135">
        <v>0</v>
      </c>
      <c r="M58" s="6"/>
      <c r="N58" s="135">
        <v>0</v>
      </c>
      <c r="O58" s="6"/>
      <c r="P58" s="135">
        <v>0</v>
      </c>
      <c r="Q58" s="6"/>
      <c r="R58" s="135">
        <v>0</v>
      </c>
      <c r="S58" s="6"/>
      <c r="T58" s="135">
        <v>0</v>
      </c>
      <c r="U58" s="6"/>
      <c r="V58" s="135">
        <v>0</v>
      </c>
      <c r="W58" s="6"/>
      <c r="X58" s="135">
        <v>3470.21</v>
      </c>
      <c r="Y58" s="6"/>
      <c r="Z58" s="135">
        <v>575</v>
      </c>
      <c r="AA58" s="6"/>
      <c r="AB58" s="135">
        <v>0</v>
      </c>
      <c r="AC58" s="6"/>
      <c r="AD58" s="135">
        <v>0</v>
      </c>
      <c r="AE58" s="6"/>
      <c r="AF58" s="135">
        <f t="shared" si="4"/>
        <v>4045.21</v>
      </c>
    </row>
    <row r="59" spans="1:32" x14ac:dyDescent="0.25">
      <c r="A59" s="2"/>
      <c r="B59" s="2"/>
      <c r="C59" s="2"/>
      <c r="D59" s="2"/>
      <c r="E59" s="2"/>
      <c r="F59" s="2" t="s">
        <v>62</v>
      </c>
      <c r="G59" s="2"/>
      <c r="H59" s="135"/>
      <c r="I59" s="6"/>
      <c r="J59" s="135"/>
      <c r="K59" s="6"/>
      <c r="L59" s="135"/>
      <c r="M59" s="6"/>
      <c r="N59" s="135"/>
      <c r="O59" s="6"/>
      <c r="P59" s="135"/>
      <c r="Q59" s="6"/>
      <c r="R59" s="135"/>
      <c r="S59" s="6"/>
      <c r="T59" s="135"/>
      <c r="U59" s="6"/>
      <c r="V59" s="135"/>
      <c r="W59" s="6"/>
      <c r="X59" s="135"/>
      <c r="Y59" s="6"/>
      <c r="Z59" s="135"/>
      <c r="AA59" s="6"/>
      <c r="AB59" s="135"/>
      <c r="AC59" s="6"/>
      <c r="AD59" s="135"/>
      <c r="AE59" s="6"/>
      <c r="AF59" s="135"/>
    </row>
    <row r="60" spans="1:32" x14ac:dyDescent="0.25">
      <c r="A60" s="2"/>
      <c r="B60" s="2"/>
      <c r="C60" s="2"/>
      <c r="D60" s="2"/>
      <c r="E60" s="2"/>
      <c r="F60" s="2"/>
      <c r="G60" s="2" t="s">
        <v>63</v>
      </c>
      <c r="H60" s="135">
        <v>0</v>
      </c>
      <c r="I60" s="6"/>
      <c r="J60" s="135">
        <v>0</v>
      </c>
      <c r="K60" s="6"/>
      <c r="L60" s="135">
        <v>0</v>
      </c>
      <c r="M60" s="6"/>
      <c r="N60" s="135">
        <v>0</v>
      </c>
      <c r="O60" s="6"/>
      <c r="P60" s="135">
        <v>0</v>
      </c>
      <c r="Q60" s="6"/>
      <c r="R60" s="135">
        <v>131.38</v>
      </c>
      <c r="S60" s="6"/>
      <c r="T60" s="135">
        <v>0</v>
      </c>
      <c r="U60" s="6"/>
      <c r="V60" s="135">
        <v>0</v>
      </c>
      <c r="W60" s="6"/>
      <c r="X60" s="135">
        <v>0</v>
      </c>
      <c r="Y60" s="6"/>
      <c r="Z60" s="135">
        <v>0</v>
      </c>
      <c r="AA60" s="6"/>
      <c r="AB60" s="135">
        <v>0</v>
      </c>
      <c r="AC60" s="6"/>
      <c r="AD60" s="135">
        <v>0</v>
      </c>
      <c r="AE60" s="6"/>
      <c r="AF60" s="135">
        <f t="shared" ref="AF60:AF71" si="5">ROUND(SUM(H60:AD60),5)</f>
        <v>131.38</v>
      </c>
    </row>
    <row r="61" spans="1:32" ht="15.75" thickBot="1" x14ac:dyDescent="0.3">
      <c r="A61" s="2"/>
      <c r="B61" s="2"/>
      <c r="C61" s="2"/>
      <c r="D61" s="2"/>
      <c r="E61" s="2"/>
      <c r="F61" s="2"/>
      <c r="G61" s="2" t="s">
        <v>64</v>
      </c>
      <c r="H61" s="147">
        <v>11</v>
      </c>
      <c r="I61" s="6"/>
      <c r="J61" s="147">
        <v>0</v>
      </c>
      <c r="K61" s="6"/>
      <c r="L61" s="147">
        <v>3641</v>
      </c>
      <c r="M61" s="6"/>
      <c r="N61" s="147">
        <v>253</v>
      </c>
      <c r="O61" s="6"/>
      <c r="P61" s="147">
        <v>58</v>
      </c>
      <c r="Q61" s="6"/>
      <c r="R61" s="147">
        <v>14</v>
      </c>
      <c r="S61" s="6"/>
      <c r="T61" s="147">
        <v>23</v>
      </c>
      <c r="U61" s="6"/>
      <c r="V61" s="147">
        <v>29</v>
      </c>
      <c r="W61" s="6"/>
      <c r="X61" s="147">
        <v>85</v>
      </c>
      <c r="Y61" s="6"/>
      <c r="Z61" s="147">
        <v>27</v>
      </c>
      <c r="AA61" s="6"/>
      <c r="AB61" s="147">
        <v>47</v>
      </c>
      <c r="AC61" s="6"/>
      <c r="AD61" s="147">
        <v>0</v>
      </c>
      <c r="AE61" s="6"/>
      <c r="AF61" s="147">
        <f t="shared" si="5"/>
        <v>4188</v>
      </c>
    </row>
    <row r="62" spans="1:32" x14ac:dyDescent="0.25">
      <c r="A62" s="2"/>
      <c r="B62" s="2"/>
      <c r="C62" s="2"/>
      <c r="D62" s="2"/>
      <c r="E62" s="2"/>
      <c r="F62" s="2" t="s">
        <v>65</v>
      </c>
      <c r="G62" s="2"/>
      <c r="H62" s="135">
        <f>ROUND(SUM(H59:H61),5)</f>
        <v>11</v>
      </c>
      <c r="I62" s="6"/>
      <c r="J62" s="135">
        <f>ROUND(SUM(J59:J61),5)</f>
        <v>0</v>
      </c>
      <c r="K62" s="6"/>
      <c r="L62" s="135">
        <f>ROUND(SUM(L59:L61),5)</f>
        <v>3641</v>
      </c>
      <c r="M62" s="6"/>
      <c r="N62" s="135">
        <f>ROUND(SUM(N59:N61),5)</f>
        <v>253</v>
      </c>
      <c r="O62" s="6"/>
      <c r="P62" s="135">
        <f>ROUND(SUM(P59:P61),5)</f>
        <v>58</v>
      </c>
      <c r="Q62" s="6"/>
      <c r="R62" s="135">
        <f>ROUND(SUM(R59:R61),5)</f>
        <v>145.38</v>
      </c>
      <c r="S62" s="6"/>
      <c r="T62" s="135">
        <f>ROUND(SUM(T59:T61),5)</f>
        <v>23</v>
      </c>
      <c r="U62" s="6"/>
      <c r="V62" s="135">
        <f>ROUND(SUM(V59:V61),5)</f>
        <v>29</v>
      </c>
      <c r="W62" s="6"/>
      <c r="X62" s="135">
        <f>ROUND(SUM(X59:X61),5)</f>
        <v>85</v>
      </c>
      <c r="Y62" s="6"/>
      <c r="Z62" s="135">
        <f>ROUND(SUM(Z59:Z61),5)</f>
        <v>27</v>
      </c>
      <c r="AA62" s="6"/>
      <c r="AB62" s="135">
        <f>ROUND(SUM(AB59:AB61),5)</f>
        <v>47</v>
      </c>
      <c r="AC62" s="6"/>
      <c r="AD62" s="135">
        <f>ROUND(SUM(AD59:AD61),5)</f>
        <v>0</v>
      </c>
      <c r="AE62" s="6"/>
      <c r="AF62" s="135">
        <f t="shared" si="5"/>
        <v>4319.38</v>
      </c>
    </row>
    <row r="63" spans="1:32" ht="30" customHeight="1" x14ac:dyDescent="0.25">
      <c r="A63" s="2"/>
      <c r="B63" s="2"/>
      <c r="C63" s="2"/>
      <c r="D63" s="2"/>
      <c r="E63" s="2"/>
      <c r="F63" s="2" t="s">
        <v>66</v>
      </c>
      <c r="G63" s="2"/>
      <c r="H63" s="135">
        <v>1850.47</v>
      </c>
      <c r="I63" s="6"/>
      <c r="J63" s="135">
        <v>0</v>
      </c>
      <c r="K63" s="6"/>
      <c r="L63" s="135">
        <v>405</v>
      </c>
      <c r="M63" s="6"/>
      <c r="N63" s="135">
        <v>0</v>
      </c>
      <c r="O63" s="6"/>
      <c r="P63" s="135">
        <v>0</v>
      </c>
      <c r="Q63" s="6"/>
      <c r="R63" s="135">
        <v>0</v>
      </c>
      <c r="S63" s="6"/>
      <c r="T63" s="135">
        <v>3020.64</v>
      </c>
      <c r="U63" s="6"/>
      <c r="V63" s="135">
        <v>0</v>
      </c>
      <c r="W63" s="6"/>
      <c r="X63" s="135">
        <v>0</v>
      </c>
      <c r="Y63" s="6"/>
      <c r="Z63" s="135">
        <v>570</v>
      </c>
      <c r="AA63" s="6"/>
      <c r="AB63" s="135">
        <v>0</v>
      </c>
      <c r="AC63" s="6"/>
      <c r="AD63" s="135">
        <v>2969</v>
      </c>
      <c r="AE63" s="6"/>
      <c r="AF63" s="135">
        <f t="shared" si="5"/>
        <v>8815.11</v>
      </c>
    </row>
    <row r="64" spans="1:32" x14ac:dyDescent="0.25">
      <c r="A64" s="2"/>
      <c r="B64" s="2"/>
      <c r="C64" s="2"/>
      <c r="D64" s="2"/>
      <c r="E64" s="2"/>
      <c r="F64" s="2" t="s">
        <v>67</v>
      </c>
      <c r="G64" s="2"/>
      <c r="H64" s="135">
        <v>0</v>
      </c>
      <c r="I64" s="6"/>
      <c r="J64" s="135">
        <v>0</v>
      </c>
      <c r="K64" s="6"/>
      <c r="L64" s="135">
        <v>399.57</v>
      </c>
      <c r="M64" s="6"/>
      <c r="N64" s="135">
        <v>0</v>
      </c>
      <c r="O64" s="6"/>
      <c r="P64" s="135">
        <v>0</v>
      </c>
      <c r="Q64" s="6"/>
      <c r="R64" s="135">
        <v>105</v>
      </c>
      <c r="S64" s="6"/>
      <c r="T64" s="135">
        <v>4160</v>
      </c>
      <c r="U64" s="6"/>
      <c r="V64" s="135">
        <v>0</v>
      </c>
      <c r="W64" s="6"/>
      <c r="X64" s="135">
        <v>105</v>
      </c>
      <c r="Y64" s="6"/>
      <c r="Z64" s="135">
        <v>0</v>
      </c>
      <c r="AA64" s="6"/>
      <c r="AB64" s="135">
        <v>0</v>
      </c>
      <c r="AC64" s="6"/>
      <c r="AD64" s="135">
        <v>0</v>
      </c>
      <c r="AE64" s="6"/>
      <c r="AF64" s="135">
        <f t="shared" si="5"/>
        <v>4769.57</v>
      </c>
    </row>
    <row r="65" spans="1:34" x14ac:dyDescent="0.25">
      <c r="A65" s="2"/>
      <c r="B65" s="2"/>
      <c r="C65" s="2"/>
      <c r="D65" s="2"/>
      <c r="E65" s="2"/>
      <c r="F65" s="2" t="s">
        <v>68</v>
      </c>
      <c r="G65" s="2"/>
      <c r="H65" s="135">
        <v>2062.12</v>
      </c>
      <c r="I65" s="6"/>
      <c r="J65" s="135">
        <v>1017.14</v>
      </c>
      <c r="K65" s="6"/>
      <c r="L65" s="135">
        <v>807.98</v>
      </c>
      <c r="M65" s="6"/>
      <c r="N65" s="135">
        <v>0</v>
      </c>
      <c r="O65" s="6"/>
      <c r="P65" s="135">
        <v>225.25</v>
      </c>
      <c r="Q65" s="6"/>
      <c r="R65" s="135">
        <v>255.91</v>
      </c>
      <c r="S65" s="6"/>
      <c r="T65" s="135">
        <v>522.84</v>
      </c>
      <c r="U65" s="6"/>
      <c r="V65" s="135">
        <v>701.27</v>
      </c>
      <c r="W65" s="6"/>
      <c r="X65" s="135">
        <v>338.79</v>
      </c>
      <c r="Y65" s="6"/>
      <c r="Z65" s="135">
        <v>1208.1500000000001</v>
      </c>
      <c r="AA65" s="6"/>
      <c r="AB65" s="135">
        <v>536.32000000000005</v>
      </c>
      <c r="AC65" s="6"/>
      <c r="AD65" s="135">
        <v>0</v>
      </c>
      <c r="AE65" s="6"/>
      <c r="AF65" s="135">
        <f t="shared" si="5"/>
        <v>7675.77</v>
      </c>
    </row>
    <row r="66" spans="1:34" x14ac:dyDescent="0.25">
      <c r="A66" s="2"/>
      <c r="B66" s="2"/>
      <c r="C66" s="2"/>
      <c r="D66" s="2"/>
      <c r="E66" s="2"/>
      <c r="F66" s="2" t="s">
        <v>69</v>
      </c>
      <c r="G66" s="2"/>
      <c r="H66" s="135">
        <v>0</v>
      </c>
      <c r="I66" s="6"/>
      <c r="J66" s="135">
        <v>121.4</v>
      </c>
      <c r="K66" s="6"/>
      <c r="L66" s="135">
        <v>198.17</v>
      </c>
      <c r="M66" s="6"/>
      <c r="N66" s="135">
        <v>0</v>
      </c>
      <c r="O66" s="6"/>
      <c r="P66" s="135">
        <v>0</v>
      </c>
      <c r="Q66" s="6"/>
      <c r="R66" s="135">
        <v>0</v>
      </c>
      <c r="S66" s="6"/>
      <c r="T66" s="135">
        <v>236.37</v>
      </c>
      <c r="U66" s="6"/>
      <c r="V66" s="135">
        <v>0</v>
      </c>
      <c r="W66" s="6"/>
      <c r="X66" s="135">
        <v>0</v>
      </c>
      <c r="Y66" s="6"/>
      <c r="Z66" s="135">
        <v>502.31</v>
      </c>
      <c r="AA66" s="6"/>
      <c r="AB66" s="135">
        <v>0</v>
      </c>
      <c r="AC66" s="6"/>
      <c r="AD66" s="135">
        <v>0</v>
      </c>
      <c r="AE66" s="6"/>
      <c r="AF66" s="135">
        <f t="shared" si="5"/>
        <v>1058.25</v>
      </c>
    </row>
    <row r="67" spans="1:34" x14ac:dyDescent="0.25">
      <c r="A67" s="2"/>
      <c r="B67" s="2"/>
      <c r="C67" s="2"/>
      <c r="D67" s="2"/>
      <c r="E67" s="2"/>
      <c r="F67" s="2" t="s">
        <v>70</v>
      </c>
      <c r="G67" s="2"/>
      <c r="H67" s="135">
        <v>1212.1600000000001</v>
      </c>
      <c r="I67" s="6"/>
      <c r="J67" s="135">
        <v>1172.73</v>
      </c>
      <c r="K67" s="6"/>
      <c r="L67" s="135">
        <v>82.75</v>
      </c>
      <c r="M67" s="6"/>
      <c r="N67" s="135">
        <v>0</v>
      </c>
      <c r="O67" s="6"/>
      <c r="P67" s="135">
        <v>0</v>
      </c>
      <c r="Q67" s="6"/>
      <c r="R67" s="135">
        <v>217.07</v>
      </c>
      <c r="S67" s="6"/>
      <c r="T67" s="135">
        <v>0</v>
      </c>
      <c r="U67" s="6"/>
      <c r="V67" s="135">
        <v>747.85</v>
      </c>
      <c r="W67" s="6"/>
      <c r="X67" s="135">
        <v>67.3</v>
      </c>
      <c r="Y67" s="6"/>
      <c r="Z67" s="135">
        <v>3583.59</v>
      </c>
      <c r="AA67" s="6"/>
      <c r="AB67" s="135">
        <v>0</v>
      </c>
      <c r="AC67" s="6"/>
      <c r="AD67" s="135">
        <v>0</v>
      </c>
      <c r="AE67" s="6"/>
      <c r="AF67" s="135">
        <f t="shared" si="5"/>
        <v>7083.45</v>
      </c>
    </row>
    <row r="68" spans="1:34" x14ac:dyDescent="0.25">
      <c r="A68" s="2"/>
      <c r="B68" s="2"/>
      <c r="C68" s="2"/>
      <c r="D68" s="2"/>
      <c r="E68" s="2"/>
      <c r="F68" s="2" t="s">
        <v>71</v>
      </c>
      <c r="G68" s="2"/>
      <c r="H68" s="135">
        <v>458.73</v>
      </c>
      <c r="I68" s="6"/>
      <c r="J68" s="135">
        <v>1221.9000000000001</v>
      </c>
      <c r="K68" s="6"/>
      <c r="L68" s="135">
        <v>380.48</v>
      </c>
      <c r="M68" s="6"/>
      <c r="N68" s="135">
        <v>1928.7</v>
      </c>
      <c r="O68" s="6"/>
      <c r="P68" s="135">
        <v>235.38</v>
      </c>
      <c r="Q68" s="6"/>
      <c r="R68" s="135">
        <v>830.15</v>
      </c>
      <c r="S68" s="6"/>
      <c r="T68" s="135">
        <v>977.26</v>
      </c>
      <c r="U68" s="6"/>
      <c r="V68" s="135">
        <v>386.28</v>
      </c>
      <c r="W68" s="6"/>
      <c r="X68" s="135">
        <v>286.10000000000002</v>
      </c>
      <c r="Y68" s="6"/>
      <c r="Z68" s="135">
        <v>877.09</v>
      </c>
      <c r="AA68" s="6"/>
      <c r="AB68" s="135">
        <v>1473</v>
      </c>
      <c r="AC68" s="6"/>
      <c r="AD68" s="135">
        <v>418.38</v>
      </c>
      <c r="AE68" s="6"/>
      <c r="AF68" s="135">
        <f t="shared" si="5"/>
        <v>9473.4500000000007</v>
      </c>
    </row>
    <row r="69" spans="1:34" x14ac:dyDescent="0.25">
      <c r="A69" s="2"/>
      <c r="B69" s="2"/>
      <c r="C69" s="2"/>
      <c r="D69" s="2"/>
      <c r="E69" s="2"/>
      <c r="F69" s="2" t="s">
        <v>72</v>
      </c>
      <c r="G69" s="2"/>
      <c r="H69" s="135">
        <v>1530.57</v>
      </c>
      <c r="I69" s="6"/>
      <c r="J69" s="135">
        <v>1099.68</v>
      </c>
      <c r="K69" s="6"/>
      <c r="L69" s="135">
        <v>2520.9499999999998</v>
      </c>
      <c r="M69" s="6"/>
      <c r="N69" s="135">
        <v>2035.6</v>
      </c>
      <c r="O69" s="6"/>
      <c r="P69" s="135">
        <v>957.28</v>
      </c>
      <c r="Q69" s="6"/>
      <c r="R69" s="135">
        <v>736.3</v>
      </c>
      <c r="S69" s="6"/>
      <c r="T69" s="135">
        <v>1260.6300000000001</v>
      </c>
      <c r="U69" s="6"/>
      <c r="V69" s="135">
        <v>1286.3800000000001</v>
      </c>
      <c r="W69" s="6"/>
      <c r="X69" s="135">
        <v>1369.29</v>
      </c>
      <c r="Y69" s="6"/>
      <c r="Z69" s="135">
        <v>1733.6</v>
      </c>
      <c r="AA69" s="6"/>
      <c r="AB69" s="135">
        <v>2831.47</v>
      </c>
      <c r="AC69" s="6"/>
      <c r="AD69" s="144">
        <v>2500</v>
      </c>
      <c r="AE69" s="6"/>
      <c r="AF69" s="135">
        <f t="shared" si="5"/>
        <v>19861.75</v>
      </c>
    </row>
    <row r="70" spans="1:34" ht="15.75" thickBot="1" x14ac:dyDescent="0.3">
      <c r="A70" s="2"/>
      <c r="B70" s="2"/>
      <c r="C70" s="2"/>
      <c r="D70" s="2"/>
      <c r="E70" s="2"/>
      <c r="F70" s="2" t="s">
        <v>218</v>
      </c>
      <c r="G70" s="2"/>
      <c r="H70" s="147">
        <v>294.97000000000003</v>
      </c>
      <c r="I70" s="6"/>
      <c r="J70" s="147">
        <v>215.71</v>
      </c>
      <c r="K70" s="6"/>
      <c r="L70" s="147">
        <v>0</v>
      </c>
      <c r="M70" s="6"/>
      <c r="N70" s="147">
        <v>115.92</v>
      </c>
      <c r="O70" s="6"/>
      <c r="P70" s="147">
        <v>1066.06</v>
      </c>
      <c r="Q70" s="6"/>
      <c r="R70" s="147">
        <v>0</v>
      </c>
      <c r="S70" s="6"/>
      <c r="T70" s="147">
        <v>105.74</v>
      </c>
      <c r="U70" s="6"/>
      <c r="V70" s="147">
        <v>0</v>
      </c>
      <c r="W70" s="6"/>
      <c r="X70" s="147">
        <v>0</v>
      </c>
      <c r="Y70" s="6"/>
      <c r="Z70" s="147">
        <v>0</v>
      </c>
      <c r="AA70" s="6"/>
      <c r="AB70" s="147">
        <v>0</v>
      </c>
      <c r="AC70" s="6"/>
      <c r="AD70" s="147">
        <v>0</v>
      </c>
      <c r="AE70" s="6"/>
      <c r="AF70" s="147">
        <f t="shared" si="5"/>
        <v>1798.4</v>
      </c>
    </row>
    <row r="71" spans="1:34" x14ac:dyDescent="0.25">
      <c r="A71" s="2"/>
      <c r="B71" s="2"/>
      <c r="C71" s="2"/>
      <c r="D71" s="2"/>
      <c r="E71" s="2" t="s">
        <v>73</v>
      </c>
      <c r="F71" s="2"/>
      <c r="G71" s="2"/>
      <c r="H71" s="135">
        <f>ROUND(SUM(H48:H49)+SUM(H54:H58)+SUM(H62:H70),5)</f>
        <v>10345.31</v>
      </c>
      <c r="I71" s="6"/>
      <c r="J71" s="135">
        <f>ROUND(SUM(J48:J49)+SUM(J54:J58)+SUM(J62:J70),5)</f>
        <v>8892.02</v>
      </c>
      <c r="K71" s="6"/>
      <c r="L71" s="135">
        <f>ROUND(SUM(L48:L49)+SUM(L54:L58)+SUM(L62:L70),5)</f>
        <v>12719.45</v>
      </c>
      <c r="M71" s="6"/>
      <c r="N71" s="135">
        <f>ROUND(SUM(N48:N49)+SUM(N54:N58)+SUM(N62:N70),5)</f>
        <v>6486.24</v>
      </c>
      <c r="O71" s="6"/>
      <c r="P71" s="135">
        <f>ROUND(SUM(P48:P49)+SUM(P54:P58)+SUM(P62:P70),5)</f>
        <v>7775.78</v>
      </c>
      <c r="Q71" s="6"/>
      <c r="R71" s="135">
        <f>ROUND(SUM(R48:R49)+SUM(R54:R58)+SUM(R62:R70),5)</f>
        <v>5933.57</v>
      </c>
      <c r="S71" s="6"/>
      <c r="T71" s="135">
        <f>ROUND(SUM(T48:T49)+SUM(T54:T58)+SUM(T62:T70),5)</f>
        <v>17823.36</v>
      </c>
      <c r="U71" s="6"/>
      <c r="V71" s="135">
        <f>ROUND(SUM(V48:V49)+SUM(V54:V58)+SUM(V62:V70),5)</f>
        <v>5421.85</v>
      </c>
      <c r="W71" s="6"/>
      <c r="X71" s="135">
        <f>ROUND(SUM(X48:X49)+SUM(X54:X58)+SUM(X62:X70),5)</f>
        <v>14980.47</v>
      </c>
      <c r="Y71" s="6"/>
      <c r="Z71" s="135">
        <f>ROUND(SUM(Z48:Z49)+SUM(Z54:Z58)+SUM(Z62:Z70),5)</f>
        <v>13215.95</v>
      </c>
      <c r="AA71" s="6"/>
      <c r="AB71" s="135">
        <f>ROUND(SUM(AB48:AB49)+SUM(AB54:AB58)+SUM(AB62:AB70),5)</f>
        <v>8624.27</v>
      </c>
      <c r="AC71" s="6"/>
      <c r="AD71" s="135">
        <f>ROUND(SUM(AD48:AD49)+SUM(AD54:AD58)+SUM(AD62:AD70),5)</f>
        <v>8097.25</v>
      </c>
      <c r="AE71" s="6"/>
      <c r="AF71" s="135">
        <f t="shared" si="5"/>
        <v>120315.52</v>
      </c>
    </row>
    <row r="72" spans="1:34" ht="30" customHeight="1" x14ac:dyDescent="0.25">
      <c r="A72" s="2"/>
      <c r="B72" s="2"/>
      <c r="C72" s="2"/>
      <c r="D72" s="2"/>
      <c r="E72" s="2" t="s">
        <v>74</v>
      </c>
      <c r="F72" s="2"/>
      <c r="G72" s="2"/>
      <c r="H72" s="135"/>
      <c r="I72" s="6"/>
      <c r="J72" s="135"/>
      <c r="K72" s="6"/>
      <c r="L72" s="135"/>
      <c r="M72" s="6"/>
      <c r="N72" s="135"/>
      <c r="O72" s="6"/>
      <c r="P72" s="135"/>
      <c r="Q72" s="6"/>
      <c r="R72" s="135"/>
      <c r="S72" s="6"/>
      <c r="T72" s="135"/>
      <c r="U72" s="6"/>
      <c r="V72" s="135"/>
      <c r="W72" s="6"/>
      <c r="X72" s="135"/>
      <c r="Y72" s="6"/>
      <c r="Z72" s="135"/>
      <c r="AA72" s="6"/>
      <c r="AB72" s="135"/>
      <c r="AC72" s="6"/>
      <c r="AD72" s="135"/>
      <c r="AE72" s="6"/>
      <c r="AF72" s="135"/>
    </row>
    <row r="73" spans="1:34" x14ac:dyDescent="0.25">
      <c r="A73" s="2"/>
      <c r="B73" s="2"/>
      <c r="C73" s="2"/>
      <c r="D73" s="2"/>
      <c r="E73" s="2"/>
      <c r="F73" s="2" t="s">
        <v>75</v>
      </c>
      <c r="G73" s="2"/>
      <c r="H73" s="143">
        <v>7200</v>
      </c>
      <c r="I73" s="6"/>
      <c r="J73" s="135">
        <v>6896.22</v>
      </c>
      <c r="K73" s="6"/>
      <c r="L73" s="135">
        <v>6294.81</v>
      </c>
      <c r="M73" s="6"/>
      <c r="N73" s="135">
        <v>6347.32</v>
      </c>
      <c r="O73" s="6"/>
      <c r="P73" s="135">
        <v>4386.92</v>
      </c>
      <c r="Q73" s="6"/>
      <c r="R73" s="135">
        <v>5193.3100000000004</v>
      </c>
      <c r="S73" s="6"/>
      <c r="T73" s="135">
        <v>7792.1</v>
      </c>
      <c r="U73" s="6"/>
      <c r="V73" s="135">
        <v>6679.92</v>
      </c>
      <c r="W73" s="6"/>
      <c r="X73" s="135">
        <v>5576.75</v>
      </c>
      <c r="Y73" s="6"/>
      <c r="Z73" s="135">
        <v>4720.67</v>
      </c>
      <c r="AA73" s="6"/>
      <c r="AB73" s="135">
        <v>4533.75</v>
      </c>
      <c r="AC73" s="6"/>
      <c r="AD73" s="144">
        <v>7200</v>
      </c>
      <c r="AE73" s="6"/>
      <c r="AF73" s="135">
        <f t="shared" ref="AF73:AF78" si="6">ROUND(SUM(H73:AD73),5)</f>
        <v>72821.77</v>
      </c>
      <c r="AH73">
        <v>75000</v>
      </c>
    </row>
    <row r="74" spans="1:34" x14ac:dyDescent="0.25">
      <c r="A74" s="2"/>
      <c r="B74" s="2"/>
      <c r="C74" s="2"/>
      <c r="D74" s="2"/>
      <c r="E74" s="2"/>
      <c r="F74" s="2" t="s">
        <v>76</v>
      </c>
      <c r="G74" s="2"/>
      <c r="H74" s="135">
        <v>11993.15</v>
      </c>
      <c r="I74" s="6"/>
      <c r="J74" s="135">
        <v>11603.73</v>
      </c>
      <c r="K74" s="6"/>
      <c r="L74" s="135">
        <v>9087.98</v>
      </c>
      <c r="M74" s="6"/>
      <c r="N74" s="135">
        <v>6835.68</v>
      </c>
      <c r="O74" s="6"/>
      <c r="P74" s="135">
        <v>5655.1</v>
      </c>
      <c r="Q74" s="6"/>
      <c r="R74" s="135">
        <v>4925.41</v>
      </c>
      <c r="S74" s="6"/>
      <c r="T74" s="135">
        <v>4954.0200000000004</v>
      </c>
      <c r="U74" s="6"/>
      <c r="V74" s="135">
        <v>4312.67</v>
      </c>
      <c r="W74" s="6"/>
      <c r="X74" s="135">
        <v>4578.72</v>
      </c>
      <c r="Y74" s="6"/>
      <c r="Z74" s="135">
        <v>5980.04</v>
      </c>
      <c r="AA74" s="6"/>
      <c r="AB74" s="135">
        <v>9361.14</v>
      </c>
      <c r="AC74" s="6"/>
      <c r="AD74" s="144">
        <v>12000</v>
      </c>
      <c r="AE74" s="6"/>
      <c r="AF74" s="135">
        <f t="shared" si="6"/>
        <v>91287.64</v>
      </c>
      <c r="AH74">
        <v>92000</v>
      </c>
    </row>
    <row r="75" spans="1:34" ht="15.75" thickBot="1" x14ac:dyDescent="0.3">
      <c r="A75" s="2"/>
      <c r="B75" s="2"/>
      <c r="C75" s="2"/>
      <c r="D75" s="2"/>
      <c r="E75" s="2"/>
      <c r="F75" s="2" t="s">
        <v>77</v>
      </c>
      <c r="G75" s="2"/>
      <c r="H75" s="136">
        <v>7426.04</v>
      </c>
      <c r="I75" s="6"/>
      <c r="J75" s="136">
        <v>6334.3</v>
      </c>
      <c r="K75" s="6"/>
      <c r="L75" s="136">
        <v>7944.74</v>
      </c>
      <c r="M75" s="6"/>
      <c r="N75" s="136">
        <v>5992.11</v>
      </c>
      <c r="O75" s="6"/>
      <c r="P75" s="136">
        <v>5758.86</v>
      </c>
      <c r="Q75" s="6"/>
      <c r="R75" s="136">
        <v>6660.76</v>
      </c>
      <c r="S75" s="6"/>
      <c r="T75" s="136">
        <v>6769.61</v>
      </c>
      <c r="U75" s="6"/>
      <c r="V75" s="136">
        <v>6800.71</v>
      </c>
      <c r="W75" s="6"/>
      <c r="X75" s="136">
        <v>6365.31</v>
      </c>
      <c r="Y75" s="6"/>
      <c r="Z75" s="136">
        <v>5789.96</v>
      </c>
      <c r="AA75" s="6"/>
      <c r="AB75" s="136">
        <v>7108.6</v>
      </c>
      <c r="AC75" s="6"/>
      <c r="AD75" s="145">
        <v>7000</v>
      </c>
      <c r="AE75" s="6"/>
      <c r="AF75" s="136">
        <f t="shared" si="6"/>
        <v>79951</v>
      </c>
      <c r="AH75">
        <v>82500</v>
      </c>
    </row>
    <row r="76" spans="1:34" ht="15.75" thickBot="1" x14ac:dyDescent="0.3">
      <c r="A76" s="2"/>
      <c r="B76" s="2"/>
      <c r="C76" s="2"/>
      <c r="D76" s="2"/>
      <c r="E76" s="2" t="s">
        <v>78</v>
      </c>
      <c r="F76" s="2"/>
      <c r="G76" s="2"/>
      <c r="H76" s="149">
        <f>ROUND(SUM(H72:H75),5)</f>
        <v>26619.19</v>
      </c>
      <c r="I76" s="6"/>
      <c r="J76" s="149">
        <f>ROUND(SUM(J72:J75),5)</f>
        <v>24834.25</v>
      </c>
      <c r="K76" s="6"/>
      <c r="L76" s="149">
        <f>ROUND(SUM(L72:L75),5)</f>
        <v>23327.53</v>
      </c>
      <c r="M76" s="6"/>
      <c r="N76" s="149">
        <f>ROUND(SUM(N72:N75),5)</f>
        <v>19175.11</v>
      </c>
      <c r="O76" s="6"/>
      <c r="P76" s="149">
        <f>ROUND(SUM(P72:P75),5)</f>
        <v>15800.88</v>
      </c>
      <c r="Q76" s="6"/>
      <c r="R76" s="149">
        <f>ROUND(SUM(R72:R75),5)</f>
        <v>16779.48</v>
      </c>
      <c r="S76" s="6"/>
      <c r="T76" s="149">
        <f>ROUND(SUM(T72:T75),5)</f>
        <v>19515.73</v>
      </c>
      <c r="U76" s="6"/>
      <c r="V76" s="149">
        <f>ROUND(SUM(V72:V75),5)</f>
        <v>17793.3</v>
      </c>
      <c r="W76" s="6"/>
      <c r="X76" s="149">
        <f>ROUND(SUM(X72:X75),5)</f>
        <v>16520.78</v>
      </c>
      <c r="Y76" s="6"/>
      <c r="Z76" s="149">
        <f>ROUND(SUM(Z72:Z75),5)</f>
        <v>16490.669999999998</v>
      </c>
      <c r="AA76" s="6"/>
      <c r="AB76" s="149">
        <f>ROUND(SUM(AB72:AB75),5)</f>
        <v>21003.49</v>
      </c>
      <c r="AC76" s="6"/>
      <c r="AD76" s="149">
        <f>ROUND(SUM(AD72:AD75),5)</f>
        <v>26200</v>
      </c>
      <c r="AE76" s="6"/>
      <c r="AF76" s="149">
        <f t="shared" si="6"/>
        <v>244060.41</v>
      </c>
    </row>
    <row r="77" spans="1:34" ht="30" customHeight="1" thickBot="1" x14ac:dyDescent="0.3">
      <c r="A77" s="2"/>
      <c r="B77" s="2"/>
      <c r="C77" s="2"/>
      <c r="D77" s="2" t="s">
        <v>79</v>
      </c>
      <c r="E77" s="2"/>
      <c r="F77" s="2"/>
      <c r="G77" s="2"/>
      <c r="H77" s="150">
        <f>ROUND(H33+H42+H47+H71+H76,5)</f>
        <v>67631.98</v>
      </c>
      <c r="I77" s="6"/>
      <c r="J77" s="150">
        <f>ROUND(J33+J42+J47+J71+J76,5)</f>
        <v>50843.79</v>
      </c>
      <c r="K77" s="6"/>
      <c r="L77" s="150">
        <f>ROUND(L33+L42+L47+L71+L76,5)</f>
        <v>66455.11</v>
      </c>
      <c r="M77" s="6"/>
      <c r="N77" s="150">
        <f>ROUND(N33+N42+N47+N71+N76,5)</f>
        <v>56834.879999999997</v>
      </c>
      <c r="O77" s="6"/>
      <c r="P77" s="150">
        <f>ROUND(P33+P42+P47+P71+P76,5)</f>
        <v>53378.64</v>
      </c>
      <c r="Q77" s="6"/>
      <c r="R77" s="150">
        <f>ROUND(R33+R42+R47+R71+R76,5)</f>
        <v>56751.39</v>
      </c>
      <c r="S77" s="6"/>
      <c r="T77" s="150">
        <f>ROUND(T33+T42+T47+T71+T76,5)</f>
        <v>67762.960000000006</v>
      </c>
      <c r="U77" s="6"/>
      <c r="V77" s="150">
        <f>ROUND(V33+V42+V47+V71+V76,5)</f>
        <v>52348.73</v>
      </c>
      <c r="W77" s="6"/>
      <c r="X77" s="150">
        <f>ROUND(X33+X42+X47+X71+X76,5)</f>
        <v>60832.57</v>
      </c>
      <c r="Y77" s="6"/>
      <c r="Z77" s="150">
        <f>ROUND(Z33+Z42+Z47+Z71+Z76,5)</f>
        <v>58909.38</v>
      </c>
      <c r="AA77" s="6"/>
      <c r="AB77" s="150">
        <f>ROUND(AB33+AB42+AB47+AB71+AB76,5)</f>
        <v>61601.57</v>
      </c>
      <c r="AC77" s="6"/>
      <c r="AD77" s="150">
        <f>ROUND(AD33+AD42+AD47+AD71+AD76,5)</f>
        <v>63977.55</v>
      </c>
      <c r="AE77" s="6"/>
      <c r="AF77" s="150">
        <f t="shared" si="6"/>
        <v>717328.55</v>
      </c>
    </row>
    <row r="78" spans="1:34" ht="30" customHeight="1" x14ac:dyDescent="0.25">
      <c r="A78" s="2"/>
      <c r="B78" s="2" t="s">
        <v>80</v>
      </c>
      <c r="C78" s="2"/>
      <c r="D78" s="2"/>
      <c r="E78" s="2"/>
      <c r="F78" s="2"/>
      <c r="G78" s="2"/>
      <c r="H78" s="135">
        <f>ROUND(H2+H32-H77,5)</f>
        <v>-2686.47</v>
      </c>
      <c r="I78" s="6"/>
      <c r="J78" s="135">
        <f>ROUND(J2+J32-J77,5)</f>
        <v>14809.05</v>
      </c>
      <c r="K78" s="6"/>
      <c r="L78" s="135">
        <f>ROUND(L2+L32-L77,5)</f>
        <v>-891.49</v>
      </c>
      <c r="M78" s="6"/>
      <c r="N78" s="135">
        <f>ROUND(N2+N32-N77,5)</f>
        <v>14535.97</v>
      </c>
      <c r="O78" s="6"/>
      <c r="P78" s="135">
        <f>ROUND(P2+P32-P77,5)</f>
        <v>11655.26</v>
      </c>
      <c r="Q78" s="6"/>
      <c r="R78" s="135">
        <f>ROUND(R2+R32-R77,5)</f>
        <v>9609</v>
      </c>
      <c r="S78" s="6"/>
      <c r="T78" s="135">
        <f>ROUND(T2+T32-T77,5)</f>
        <v>6679.32</v>
      </c>
      <c r="U78" s="6"/>
      <c r="V78" s="135">
        <f>ROUND(V2+V32-V77,5)</f>
        <v>12961.24</v>
      </c>
      <c r="W78" s="6"/>
      <c r="X78" s="135">
        <f>ROUND(X2+X32-X77,5)</f>
        <v>9103.4</v>
      </c>
      <c r="Y78" s="6"/>
      <c r="Z78" s="135">
        <f>ROUND(Z2+Z32-Z77,5)</f>
        <v>19776.82</v>
      </c>
      <c r="AA78" s="6"/>
      <c r="AB78" s="135">
        <f>ROUND(AB2+AB32-AB77,5)</f>
        <v>3622.84</v>
      </c>
      <c r="AC78" s="6"/>
      <c r="AD78" s="135">
        <f>ROUND(AD2+AD32-AD77,5)</f>
        <v>1246.8599999999999</v>
      </c>
      <c r="AE78" s="6"/>
      <c r="AF78" s="135">
        <f t="shared" si="6"/>
        <v>100421.8</v>
      </c>
    </row>
    <row r="79" spans="1:34" ht="30" customHeight="1" x14ac:dyDescent="0.25">
      <c r="A79" s="2"/>
      <c r="B79" s="2" t="s">
        <v>81</v>
      </c>
      <c r="C79" s="2"/>
      <c r="D79" s="2"/>
      <c r="E79" s="2"/>
      <c r="F79" s="2"/>
      <c r="G79" s="2"/>
      <c r="H79" s="135"/>
      <c r="I79" s="6"/>
      <c r="J79" s="135"/>
      <c r="K79" s="6"/>
      <c r="L79" s="135"/>
      <c r="M79" s="6"/>
      <c r="N79" s="135"/>
      <c r="O79" s="6"/>
      <c r="P79" s="135"/>
      <c r="Q79" s="6"/>
      <c r="R79" s="135"/>
      <c r="S79" s="6"/>
      <c r="T79" s="135"/>
      <c r="U79" s="6"/>
      <c r="V79" s="135"/>
      <c r="W79" s="6"/>
      <c r="X79" s="135"/>
      <c r="Y79" s="6"/>
      <c r="Z79" s="135"/>
      <c r="AA79" s="6"/>
      <c r="AB79" s="135"/>
      <c r="AC79" s="6"/>
      <c r="AD79" s="135"/>
      <c r="AE79" s="6"/>
      <c r="AF79" s="135"/>
    </row>
    <row r="80" spans="1:34" x14ac:dyDescent="0.25">
      <c r="A80" s="2"/>
      <c r="B80" s="2"/>
      <c r="C80" s="2" t="s">
        <v>29</v>
      </c>
      <c r="D80" s="2"/>
      <c r="E80" s="2"/>
      <c r="F80" s="2"/>
      <c r="G80" s="2"/>
      <c r="H80" s="135"/>
      <c r="I80" s="6"/>
      <c r="J80" s="135"/>
      <c r="K80" s="6"/>
      <c r="L80" s="135"/>
      <c r="M80" s="6"/>
      <c r="N80" s="135"/>
      <c r="O80" s="6"/>
      <c r="P80" s="135"/>
      <c r="Q80" s="6"/>
      <c r="R80" s="135"/>
      <c r="S80" s="6"/>
      <c r="T80" s="135"/>
      <c r="U80" s="6"/>
      <c r="V80" s="135"/>
      <c r="W80" s="6"/>
      <c r="X80" s="135"/>
      <c r="Y80" s="6"/>
      <c r="Z80" s="135"/>
      <c r="AA80" s="6"/>
      <c r="AB80" s="135"/>
      <c r="AC80" s="6"/>
      <c r="AD80" s="135"/>
      <c r="AE80" s="6"/>
      <c r="AF80" s="135"/>
    </row>
    <row r="81" spans="1:34" x14ac:dyDescent="0.25">
      <c r="A81" s="2"/>
      <c r="B81" s="2"/>
      <c r="C81" s="2"/>
      <c r="D81" s="2" t="s">
        <v>82</v>
      </c>
      <c r="E81" s="2"/>
      <c r="F81" s="2"/>
      <c r="G81" s="2"/>
      <c r="H81" s="135"/>
      <c r="I81" s="6"/>
      <c r="J81" s="135"/>
      <c r="K81" s="6"/>
      <c r="L81" s="135"/>
      <c r="M81" s="6"/>
      <c r="N81" s="135"/>
      <c r="O81" s="6"/>
      <c r="P81" s="135"/>
      <c r="Q81" s="6"/>
      <c r="R81" s="135"/>
      <c r="S81" s="6"/>
      <c r="T81" s="135"/>
      <c r="U81" s="6"/>
      <c r="V81" s="135"/>
      <c r="W81" s="6"/>
      <c r="X81" s="135"/>
      <c r="Y81" s="6"/>
      <c r="Z81" s="135"/>
      <c r="AA81" s="6"/>
      <c r="AB81" s="135"/>
      <c r="AC81" s="6"/>
      <c r="AD81" s="135"/>
      <c r="AE81" s="6"/>
      <c r="AF81" s="135"/>
    </row>
    <row r="82" spans="1:34" x14ac:dyDescent="0.25">
      <c r="A82" s="2"/>
      <c r="B82" s="2"/>
      <c r="C82" s="2"/>
      <c r="D82" s="2"/>
      <c r="E82" s="2" t="s">
        <v>83</v>
      </c>
      <c r="F82" s="2"/>
      <c r="G82" s="2"/>
      <c r="H82" s="135"/>
      <c r="I82" s="6"/>
      <c r="J82" s="135"/>
      <c r="K82" s="6"/>
      <c r="L82" s="135"/>
      <c r="M82" s="6"/>
      <c r="N82" s="135"/>
      <c r="O82" s="6"/>
      <c r="P82" s="135"/>
      <c r="Q82" s="6"/>
      <c r="R82" s="135"/>
      <c r="S82" s="6"/>
      <c r="T82" s="135"/>
      <c r="U82" s="6"/>
      <c r="V82" s="135"/>
      <c r="W82" s="6"/>
      <c r="X82" s="135"/>
      <c r="Y82" s="6"/>
      <c r="Z82" s="135"/>
      <c r="AA82" s="6"/>
      <c r="AB82" s="135"/>
      <c r="AC82" s="6"/>
      <c r="AD82" s="135"/>
      <c r="AE82" s="6"/>
      <c r="AF82" s="135"/>
    </row>
    <row r="83" spans="1:34" x14ac:dyDescent="0.25">
      <c r="A83" s="2"/>
      <c r="B83" s="2"/>
      <c r="C83" s="2"/>
      <c r="D83" s="2"/>
      <c r="E83" s="2"/>
      <c r="F83" s="2" t="s">
        <v>26</v>
      </c>
      <c r="G83" s="2"/>
      <c r="H83" s="135">
        <v>213.75</v>
      </c>
      <c r="I83" s="6"/>
      <c r="J83" s="135">
        <v>213.74</v>
      </c>
      <c r="K83" s="6"/>
      <c r="L83" s="135">
        <v>213.74</v>
      </c>
      <c r="M83" s="6"/>
      <c r="N83" s="135">
        <v>213.75</v>
      </c>
      <c r="O83" s="6"/>
      <c r="P83" s="135">
        <v>213.74</v>
      </c>
      <c r="Q83" s="6"/>
      <c r="R83" s="135">
        <v>213.74</v>
      </c>
      <c r="S83" s="6"/>
      <c r="T83" s="135">
        <v>213.75</v>
      </c>
      <c r="U83" s="6"/>
      <c r="V83" s="135">
        <v>213.74</v>
      </c>
      <c r="W83" s="6"/>
      <c r="X83" s="135">
        <v>213.74</v>
      </c>
      <c r="Y83" s="6"/>
      <c r="Z83" s="135">
        <v>213.75</v>
      </c>
      <c r="AA83" s="6"/>
      <c r="AB83" s="135">
        <v>213.74</v>
      </c>
      <c r="AC83" s="6"/>
      <c r="AD83" s="135">
        <v>213.74</v>
      </c>
      <c r="AE83" s="6"/>
      <c r="AF83" s="135">
        <f t="shared" ref="AF83:AF92" si="7">ROUND(SUM(H83:AD83),5)</f>
        <v>2564.92</v>
      </c>
    </row>
    <row r="84" spans="1:34" x14ac:dyDescent="0.25">
      <c r="A84" s="2"/>
      <c r="B84" s="2"/>
      <c r="C84" s="2"/>
      <c r="D84" s="2"/>
      <c r="E84" s="2"/>
      <c r="F84" s="2" t="s">
        <v>84</v>
      </c>
      <c r="G84" s="2"/>
      <c r="H84" s="135">
        <v>12.72</v>
      </c>
      <c r="I84" s="6"/>
      <c r="J84" s="135">
        <v>12.72</v>
      </c>
      <c r="K84" s="6"/>
      <c r="L84" s="135">
        <v>12.72</v>
      </c>
      <c r="M84" s="6"/>
      <c r="N84" s="135">
        <v>12.72</v>
      </c>
      <c r="O84" s="6"/>
      <c r="P84" s="135">
        <v>12.72</v>
      </c>
      <c r="Q84" s="6"/>
      <c r="R84" s="135">
        <v>12.72</v>
      </c>
      <c r="S84" s="6"/>
      <c r="T84" s="135">
        <v>18.13</v>
      </c>
      <c r="U84" s="6"/>
      <c r="V84" s="135">
        <v>12.72</v>
      </c>
      <c r="W84" s="6"/>
      <c r="X84" s="135">
        <v>12.72</v>
      </c>
      <c r="Y84" s="6"/>
      <c r="Z84" s="135">
        <v>12.72</v>
      </c>
      <c r="AA84" s="6"/>
      <c r="AB84" s="135">
        <v>12.72</v>
      </c>
      <c r="AC84" s="6"/>
      <c r="AD84" s="135">
        <v>12.72</v>
      </c>
      <c r="AE84" s="6"/>
      <c r="AF84" s="135">
        <f t="shared" si="7"/>
        <v>158.05000000000001</v>
      </c>
    </row>
    <row r="85" spans="1:34" x14ac:dyDescent="0.25">
      <c r="A85" s="2"/>
      <c r="B85" s="2"/>
      <c r="C85" s="2"/>
      <c r="D85" s="2"/>
      <c r="E85" s="2"/>
      <c r="F85" s="2" t="s">
        <v>19</v>
      </c>
      <c r="G85" s="2"/>
      <c r="H85" s="135">
        <v>555.95000000000005</v>
      </c>
      <c r="I85" s="6"/>
      <c r="J85" s="135">
        <v>555.95000000000005</v>
      </c>
      <c r="K85" s="6"/>
      <c r="L85" s="135">
        <v>555.95000000000005</v>
      </c>
      <c r="M85" s="6"/>
      <c r="N85" s="135">
        <v>555.95000000000005</v>
      </c>
      <c r="O85" s="6"/>
      <c r="P85" s="135">
        <v>555.95000000000005</v>
      </c>
      <c r="Q85" s="6"/>
      <c r="R85" s="135">
        <v>555.95000000000005</v>
      </c>
      <c r="S85" s="6"/>
      <c r="T85" s="135">
        <v>1140.45</v>
      </c>
      <c r="U85" s="6"/>
      <c r="V85" s="135">
        <v>555.95000000000005</v>
      </c>
      <c r="W85" s="6"/>
      <c r="X85" s="135">
        <v>555.95000000000005</v>
      </c>
      <c r="Y85" s="6"/>
      <c r="Z85" s="135">
        <v>747.5</v>
      </c>
      <c r="AA85" s="6"/>
      <c r="AB85" s="135">
        <v>555.95000000000005</v>
      </c>
      <c r="AC85" s="6"/>
      <c r="AD85" s="135">
        <v>555.95000000000005</v>
      </c>
      <c r="AE85" s="6"/>
      <c r="AF85" s="135">
        <f t="shared" si="7"/>
        <v>7447.45</v>
      </c>
    </row>
    <row r="86" spans="1:34" x14ac:dyDescent="0.25">
      <c r="A86" s="2"/>
      <c r="B86" s="2"/>
      <c r="C86" s="2"/>
      <c r="D86" s="2"/>
      <c r="E86" s="2"/>
      <c r="F86" s="2" t="s">
        <v>27</v>
      </c>
      <c r="G86" s="2"/>
      <c r="H86" s="135">
        <v>10.24</v>
      </c>
      <c r="I86" s="6"/>
      <c r="J86" s="135">
        <v>10.24</v>
      </c>
      <c r="K86" s="6"/>
      <c r="L86" s="135">
        <v>10.24</v>
      </c>
      <c r="M86" s="6"/>
      <c r="N86" s="135">
        <v>10.24</v>
      </c>
      <c r="O86" s="6"/>
      <c r="P86" s="135">
        <v>10.24</v>
      </c>
      <c r="Q86" s="6"/>
      <c r="R86" s="135">
        <v>10.24</v>
      </c>
      <c r="S86" s="6"/>
      <c r="T86" s="135">
        <v>10.24</v>
      </c>
      <c r="U86" s="6"/>
      <c r="V86" s="135">
        <v>10.24</v>
      </c>
      <c r="W86" s="6"/>
      <c r="X86" s="135">
        <v>10.24</v>
      </c>
      <c r="Y86" s="6"/>
      <c r="Z86" s="135">
        <v>10.24</v>
      </c>
      <c r="AA86" s="6"/>
      <c r="AB86" s="135">
        <v>10.24</v>
      </c>
      <c r="AC86" s="6"/>
      <c r="AD86" s="135">
        <v>10.24</v>
      </c>
      <c r="AE86" s="6"/>
      <c r="AF86" s="135">
        <f t="shared" si="7"/>
        <v>122.88</v>
      </c>
    </row>
    <row r="87" spans="1:34" x14ac:dyDescent="0.25">
      <c r="A87" s="2"/>
      <c r="B87" s="2"/>
      <c r="C87" s="2"/>
      <c r="D87" s="2"/>
      <c r="E87" s="2"/>
      <c r="F87" s="2" t="s">
        <v>22</v>
      </c>
      <c r="G87" s="2"/>
      <c r="H87" s="135">
        <v>681.42</v>
      </c>
      <c r="I87" s="6"/>
      <c r="J87" s="135">
        <v>681.42</v>
      </c>
      <c r="K87" s="6"/>
      <c r="L87" s="135">
        <v>681.42</v>
      </c>
      <c r="M87" s="6"/>
      <c r="N87" s="135">
        <v>681.42</v>
      </c>
      <c r="O87" s="6"/>
      <c r="P87" s="135">
        <v>681.42</v>
      </c>
      <c r="Q87" s="6"/>
      <c r="R87" s="135">
        <v>681.42</v>
      </c>
      <c r="S87" s="6"/>
      <c r="T87" s="135">
        <v>681.42</v>
      </c>
      <c r="U87" s="6"/>
      <c r="V87" s="135">
        <v>681.42</v>
      </c>
      <c r="W87" s="6"/>
      <c r="X87" s="135">
        <v>681.42</v>
      </c>
      <c r="Y87" s="6"/>
      <c r="Z87" s="135">
        <v>681.42</v>
      </c>
      <c r="AA87" s="6"/>
      <c r="AB87" s="135">
        <v>681.42</v>
      </c>
      <c r="AC87" s="6"/>
      <c r="AD87" s="135">
        <v>681.42</v>
      </c>
      <c r="AE87" s="6"/>
      <c r="AF87" s="135">
        <f t="shared" si="7"/>
        <v>8177.04</v>
      </c>
    </row>
    <row r="88" spans="1:34" ht="15.75" thickBot="1" x14ac:dyDescent="0.3">
      <c r="A88" s="2"/>
      <c r="B88" s="2"/>
      <c r="C88" s="2"/>
      <c r="D88" s="2"/>
      <c r="E88" s="2"/>
      <c r="F88" s="2" t="s">
        <v>85</v>
      </c>
      <c r="G88" s="2"/>
      <c r="H88" s="147">
        <v>33.799999999999997</v>
      </c>
      <c r="I88" s="6"/>
      <c r="J88" s="147">
        <v>33.79</v>
      </c>
      <c r="K88" s="6"/>
      <c r="L88" s="147">
        <v>33.79</v>
      </c>
      <c r="M88" s="6"/>
      <c r="N88" s="147">
        <v>33.799999999999997</v>
      </c>
      <c r="O88" s="6"/>
      <c r="P88" s="147">
        <v>33.79</v>
      </c>
      <c r="Q88" s="6"/>
      <c r="R88" s="147">
        <v>33.79</v>
      </c>
      <c r="S88" s="6"/>
      <c r="T88" s="147">
        <v>33.799999999999997</v>
      </c>
      <c r="U88" s="6"/>
      <c r="V88" s="147">
        <v>33.79</v>
      </c>
      <c r="W88" s="6"/>
      <c r="X88" s="147">
        <v>33.79</v>
      </c>
      <c r="Y88" s="6"/>
      <c r="Z88" s="147">
        <v>33.799999999999997</v>
      </c>
      <c r="AA88" s="6"/>
      <c r="AB88" s="147">
        <v>33.79</v>
      </c>
      <c r="AC88" s="6"/>
      <c r="AD88" s="147">
        <v>33.79</v>
      </c>
      <c r="AE88" s="6"/>
      <c r="AF88" s="147">
        <f t="shared" si="7"/>
        <v>405.52</v>
      </c>
    </row>
    <row r="89" spans="1:34" x14ac:dyDescent="0.25">
      <c r="A89" s="2"/>
      <c r="B89" s="2"/>
      <c r="C89" s="2"/>
      <c r="D89" s="2"/>
      <c r="E89" s="2" t="s">
        <v>86</v>
      </c>
      <c r="F89" s="2"/>
      <c r="G89" s="2"/>
      <c r="H89" s="135">
        <f>ROUND(SUM(H82:H88),5)</f>
        <v>1507.88</v>
      </c>
      <c r="I89" s="6"/>
      <c r="J89" s="135">
        <f>ROUND(SUM(J82:J88),5)</f>
        <v>1507.86</v>
      </c>
      <c r="K89" s="6"/>
      <c r="L89" s="135">
        <f>ROUND(SUM(L82:L88),5)</f>
        <v>1507.86</v>
      </c>
      <c r="M89" s="6"/>
      <c r="N89" s="135">
        <f>ROUND(SUM(N82:N88),5)</f>
        <v>1507.88</v>
      </c>
      <c r="O89" s="6"/>
      <c r="P89" s="135">
        <f>ROUND(SUM(P82:P88),5)</f>
        <v>1507.86</v>
      </c>
      <c r="Q89" s="6"/>
      <c r="R89" s="135">
        <f>ROUND(SUM(R82:R88),5)</f>
        <v>1507.86</v>
      </c>
      <c r="S89" s="6"/>
      <c r="T89" s="135">
        <f>ROUND(SUM(T82:T88),5)</f>
        <v>2097.79</v>
      </c>
      <c r="U89" s="6"/>
      <c r="V89" s="135">
        <f>ROUND(SUM(V82:V88),5)</f>
        <v>1507.86</v>
      </c>
      <c r="W89" s="6"/>
      <c r="X89" s="135">
        <f>ROUND(SUM(X82:X88),5)</f>
        <v>1507.86</v>
      </c>
      <c r="Y89" s="6"/>
      <c r="Z89" s="135">
        <f>ROUND(SUM(Z82:Z88),5)</f>
        <v>1699.43</v>
      </c>
      <c r="AA89" s="6"/>
      <c r="AB89" s="135">
        <f>ROUND(SUM(AB82:AB88),5)</f>
        <v>1507.86</v>
      </c>
      <c r="AC89" s="6"/>
      <c r="AD89" s="135">
        <f>ROUND(SUM(AD82:AD88),5)</f>
        <v>1507.86</v>
      </c>
      <c r="AE89" s="6"/>
      <c r="AF89" s="135">
        <f t="shared" si="7"/>
        <v>18875.86</v>
      </c>
    </row>
    <row r="90" spans="1:34" ht="30" customHeight="1" thickBot="1" x14ac:dyDescent="0.3">
      <c r="A90" s="2"/>
      <c r="B90" s="2"/>
      <c r="C90" s="2"/>
      <c r="D90" s="2"/>
      <c r="E90" s="2" t="s">
        <v>219</v>
      </c>
      <c r="F90" s="2"/>
      <c r="G90" s="2"/>
      <c r="H90" s="136">
        <v>0</v>
      </c>
      <c r="I90" s="6"/>
      <c r="J90" s="136">
        <v>0</v>
      </c>
      <c r="K90" s="6"/>
      <c r="L90" s="136">
        <v>0</v>
      </c>
      <c r="M90" s="6"/>
      <c r="N90" s="136">
        <v>0</v>
      </c>
      <c r="O90" s="6"/>
      <c r="P90" s="136">
        <v>518583.22</v>
      </c>
      <c r="Q90" s="6"/>
      <c r="R90" s="136">
        <v>11465.15</v>
      </c>
      <c r="S90" s="6"/>
      <c r="T90" s="136">
        <v>47951.72</v>
      </c>
      <c r="U90" s="6"/>
      <c r="V90" s="136">
        <v>0</v>
      </c>
      <c r="W90" s="6"/>
      <c r="X90" s="136">
        <v>0</v>
      </c>
      <c r="Y90" s="6"/>
      <c r="Z90" s="136">
        <v>0</v>
      </c>
      <c r="AA90" s="6"/>
      <c r="AB90" s="136">
        <v>0</v>
      </c>
      <c r="AC90" s="6"/>
      <c r="AD90" s="136">
        <v>0</v>
      </c>
      <c r="AE90" s="6"/>
      <c r="AF90" s="136">
        <f t="shared" si="7"/>
        <v>578000.09</v>
      </c>
    </row>
    <row r="91" spans="1:34" ht="15.75" thickBot="1" x14ac:dyDescent="0.3">
      <c r="A91" s="2"/>
      <c r="B91" s="2"/>
      <c r="C91" s="2"/>
      <c r="D91" s="2" t="s">
        <v>87</v>
      </c>
      <c r="E91" s="2"/>
      <c r="F91" s="2"/>
      <c r="G91" s="2"/>
      <c r="H91" s="150">
        <f>ROUND(H81+SUM(H89:H90),5)</f>
        <v>1507.88</v>
      </c>
      <c r="I91" s="6"/>
      <c r="J91" s="150">
        <f>ROUND(J81+SUM(J89:J90),5)</f>
        <v>1507.86</v>
      </c>
      <c r="K91" s="6"/>
      <c r="L91" s="150">
        <f>ROUND(L81+SUM(L89:L90),5)</f>
        <v>1507.86</v>
      </c>
      <c r="M91" s="6"/>
      <c r="N91" s="150">
        <f>ROUND(N81+SUM(N89:N90),5)</f>
        <v>1507.88</v>
      </c>
      <c r="O91" s="6"/>
      <c r="P91" s="150">
        <f>ROUND(P81+SUM(P89:P90),5)</f>
        <v>520091.08</v>
      </c>
      <c r="Q91" s="6"/>
      <c r="R91" s="150">
        <f>ROUND(R81+SUM(R89:R90),5)</f>
        <v>12973.01</v>
      </c>
      <c r="S91" s="6"/>
      <c r="T91" s="150">
        <f>ROUND(T81+SUM(T89:T90),5)</f>
        <v>50049.51</v>
      </c>
      <c r="U91" s="6"/>
      <c r="V91" s="150">
        <f>ROUND(V81+SUM(V89:V90),5)</f>
        <v>1507.86</v>
      </c>
      <c r="W91" s="6"/>
      <c r="X91" s="150">
        <f>ROUND(X81+SUM(X89:X90),5)</f>
        <v>1507.86</v>
      </c>
      <c r="Y91" s="6"/>
      <c r="Z91" s="150">
        <f>ROUND(Z81+SUM(Z89:Z90),5)</f>
        <v>1699.43</v>
      </c>
      <c r="AA91" s="6"/>
      <c r="AB91" s="150">
        <f>ROUND(AB81+SUM(AB89:AB90),5)</f>
        <v>1507.86</v>
      </c>
      <c r="AC91" s="6"/>
      <c r="AD91" s="150">
        <f>ROUND(AD81+SUM(AD89:AD90),5)</f>
        <v>1507.86</v>
      </c>
      <c r="AE91" s="6"/>
      <c r="AF91" s="150">
        <f t="shared" si="7"/>
        <v>596875.94999999995</v>
      </c>
    </row>
    <row r="92" spans="1:34" ht="30" customHeight="1" x14ac:dyDescent="0.25">
      <c r="A92" s="2"/>
      <c r="B92" s="2"/>
      <c r="C92" s="2" t="s">
        <v>33</v>
      </c>
      <c r="D92" s="2"/>
      <c r="E92" s="2"/>
      <c r="F92" s="2"/>
      <c r="G92" s="2"/>
      <c r="H92" s="135">
        <f>ROUND(H80+H91,5)</f>
        <v>1507.88</v>
      </c>
      <c r="I92" s="6"/>
      <c r="J92" s="135">
        <f>ROUND(J80+J91,5)</f>
        <v>1507.86</v>
      </c>
      <c r="K92" s="6"/>
      <c r="L92" s="135">
        <f>ROUND(L80+L91,5)</f>
        <v>1507.86</v>
      </c>
      <c r="M92" s="6"/>
      <c r="N92" s="135">
        <f>ROUND(N80+N91,5)</f>
        <v>1507.88</v>
      </c>
      <c r="O92" s="6"/>
      <c r="P92" s="135">
        <f>ROUND(P80+P91,5)</f>
        <v>520091.08</v>
      </c>
      <c r="Q92" s="6"/>
      <c r="R92" s="135">
        <f>ROUND(R80+R91,5)</f>
        <v>12973.01</v>
      </c>
      <c r="S92" s="6"/>
      <c r="T92" s="135">
        <f>ROUND(T80+T91,5)</f>
        <v>50049.51</v>
      </c>
      <c r="U92" s="6"/>
      <c r="V92" s="135">
        <f>ROUND(V80+V91,5)</f>
        <v>1507.86</v>
      </c>
      <c r="W92" s="6"/>
      <c r="X92" s="135">
        <f>ROUND(X80+X91,5)</f>
        <v>1507.86</v>
      </c>
      <c r="Y92" s="6"/>
      <c r="Z92" s="135">
        <f>ROUND(Z80+Z91,5)</f>
        <v>1699.43</v>
      </c>
      <c r="AA92" s="6"/>
      <c r="AB92" s="135">
        <f>ROUND(AB80+AB91,5)</f>
        <v>1507.86</v>
      </c>
      <c r="AC92" s="6"/>
      <c r="AD92" s="135">
        <f>ROUND(AD80+AD91,5)</f>
        <v>1507.86</v>
      </c>
      <c r="AE92" s="6"/>
      <c r="AF92" s="135">
        <f t="shared" si="7"/>
        <v>596875.94999999995</v>
      </c>
    </row>
    <row r="93" spans="1:34" ht="30" customHeight="1" x14ac:dyDescent="0.25">
      <c r="A93" s="2"/>
      <c r="B93" s="2"/>
      <c r="C93" s="2" t="s">
        <v>88</v>
      </c>
      <c r="D93" s="2"/>
      <c r="E93" s="2"/>
      <c r="F93" s="2"/>
      <c r="G93" s="2"/>
      <c r="H93" s="135"/>
      <c r="I93" s="6"/>
      <c r="J93" s="135"/>
      <c r="K93" s="6"/>
      <c r="L93" s="135"/>
      <c r="M93" s="6"/>
      <c r="N93" s="135"/>
      <c r="O93" s="6"/>
      <c r="P93" s="135"/>
      <c r="Q93" s="6"/>
      <c r="R93" s="135"/>
      <c r="S93" s="6"/>
      <c r="T93" s="135"/>
      <c r="U93" s="6"/>
      <c r="V93" s="135"/>
      <c r="W93" s="6"/>
      <c r="X93" s="135"/>
      <c r="Y93" s="6"/>
      <c r="Z93" s="135"/>
      <c r="AA93" s="6"/>
      <c r="AB93" s="135"/>
      <c r="AC93" s="6"/>
      <c r="AD93" s="135"/>
      <c r="AE93" s="6"/>
      <c r="AF93" s="135"/>
    </row>
    <row r="94" spans="1:34" x14ac:dyDescent="0.25">
      <c r="A94" s="2"/>
      <c r="B94" s="2"/>
      <c r="C94" s="2"/>
      <c r="D94" s="2" t="s">
        <v>89</v>
      </c>
      <c r="E94" s="2"/>
      <c r="F94" s="2"/>
      <c r="G94" s="2"/>
      <c r="H94" s="135"/>
      <c r="I94" s="6"/>
      <c r="J94" s="135"/>
      <c r="K94" s="6"/>
      <c r="L94" s="135"/>
      <c r="M94" s="6"/>
      <c r="N94" s="135"/>
      <c r="O94" s="6"/>
      <c r="P94" s="135"/>
      <c r="Q94" s="6"/>
      <c r="R94" s="135"/>
      <c r="S94" s="6"/>
      <c r="T94" s="135"/>
      <c r="U94" s="6"/>
      <c r="V94" s="135"/>
      <c r="W94" s="6"/>
      <c r="X94" s="135"/>
      <c r="Y94" s="6"/>
      <c r="Z94" s="135"/>
      <c r="AA94" s="6"/>
      <c r="AB94" s="135"/>
      <c r="AC94" s="6"/>
      <c r="AD94" s="135"/>
      <c r="AE94" s="6"/>
      <c r="AF94" s="135"/>
    </row>
    <row r="95" spans="1:34" x14ac:dyDescent="0.25">
      <c r="A95" s="2"/>
      <c r="B95" s="2"/>
      <c r="C95" s="2"/>
      <c r="D95" s="2"/>
      <c r="E95" s="2" t="s">
        <v>220</v>
      </c>
      <c r="F95" s="2"/>
      <c r="G95" s="2"/>
      <c r="H95" s="135">
        <v>0</v>
      </c>
      <c r="I95" s="6"/>
      <c r="J95" s="135">
        <v>0</v>
      </c>
      <c r="K95" s="6"/>
      <c r="L95" s="135">
        <v>0</v>
      </c>
      <c r="M95" s="6"/>
      <c r="N95" s="135">
        <v>0</v>
      </c>
      <c r="O95" s="6"/>
      <c r="P95" s="135">
        <v>0</v>
      </c>
      <c r="Q95" s="6"/>
      <c r="R95" s="135">
        <v>0</v>
      </c>
      <c r="S95" s="6"/>
      <c r="T95" s="135">
        <v>0</v>
      </c>
      <c r="U95" s="6"/>
      <c r="V95" s="135">
        <v>0</v>
      </c>
      <c r="W95" s="6"/>
      <c r="X95" s="135">
        <v>4739</v>
      </c>
      <c r="Y95" s="6"/>
      <c r="Z95" s="135">
        <v>0</v>
      </c>
      <c r="AA95" s="6"/>
      <c r="AB95" s="135">
        <v>0</v>
      </c>
      <c r="AC95" s="6"/>
      <c r="AD95" s="135">
        <v>0</v>
      </c>
      <c r="AE95" s="6"/>
      <c r="AF95" s="135">
        <f t="shared" ref="AF95:AF104" si="8">ROUND(SUM(H95:AD95),5)</f>
        <v>4739</v>
      </c>
    </row>
    <row r="96" spans="1:34" x14ac:dyDescent="0.25">
      <c r="A96" s="2"/>
      <c r="B96" s="2"/>
      <c r="C96" s="2"/>
      <c r="D96" s="2"/>
      <c r="E96" s="2" t="s">
        <v>221</v>
      </c>
      <c r="F96" s="2"/>
      <c r="G96" s="2"/>
      <c r="H96" s="135">
        <v>0</v>
      </c>
      <c r="I96" s="6"/>
      <c r="J96" s="135">
        <v>0</v>
      </c>
      <c r="K96" s="6"/>
      <c r="L96" s="135">
        <v>0</v>
      </c>
      <c r="M96" s="6"/>
      <c r="N96" s="135">
        <v>0</v>
      </c>
      <c r="O96" s="6"/>
      <c r="P96" s="135">
        <v>0</v>
      </c>
      <c r="Q96" s="6"/>
      <c r="R96" s="135">
        <v>0</v>
      </c>
      <c r="S96" s="6"/>
      <c r="T96" s="135">
        <v>0</v>
      </c>
      <c r="U96" s="6"/>
      <c r="V96" s="135">
        <v>0</v>
      </c>
      <c r="W96" s="6"/>
      <c r="X96" s="135">
        <v>0</v>
      </c>
      <c r="Y96" s="6"/>
      <c r="Z96" s="135">
        <v>15975</v>
      </c>
      <c r="AA96" s="6"/>
      <c r="AB96" s="135">
        <v>0</v>
      </c>
      <c r="AC96" s="6"/>
      <c r="AD96" s="135">
        <v>0</v>
      </c>
      <c r="AE96" s="6"/>
      <c r="AF96" s="135">
        <f t="shared" si="8"/>
        <v>15975</v>
      </c>
      <c r="AH96">
        <v>15975</v>
      </c>
    </row>
    <row r="97" spans="1:34" x14ac:dyDescent="0.25">
      <c r="A97" s="2"/>
      <c r="B97" s="2"/>
      <c r="C97" s="2"/>
      <c r="D97" s="2"/>
      <c r="E97" s="2" t="s">
        <v>222</v>
      </c>
      <c r="F97" s="2"/>
      <c r="G97" s="2"/>
      <c r="H97" s="135">
        <v>0</v>
      </c>
      <c r="I97" s="6"/>
      <c r="J97" s="135">
        <v>0</v>
      </c>
      <c r="K97" s="6"/>
      <c r="L97" s="135">
        <v>0</v>
      </c>
      <c r="M97" s="6"/>
      <c r="N97" s="135">
        <v>0</v>
      </c>
      <c r="O97" s="6"/>
      <c r="P97" s="135">
        <v>0</v>
      </c>
      <c r="Q97" s="6"/>
      <c r="R97" s="135">
        <v>60003.65</v>
      </c>
      <c r="S97" s="6"/>
      <c r="T97" s="135">
        <v>0</v>
      </c>
      <c r="U97" s="6"/>
      <c r="V97" s="135">
        <v>0</v>
      </c>
      <c r="W97" s="6"/>
      <c r="X97" s="135">
        <v>21000</v>
      </c>
      <c r="Y97" s="6"/>
      <c r="Z97" s="135">
        <v>15555</v>
      </c>
      <c r="AA97" s="6"/>
      <c r="AB97" s="135">
        <v>18383.66</v>
      </c>
      <c r="AC97" s="6"/>
      <c r="AD97" s="135">
        <v>0</v>
      </c>
      <c r="AE97" s="6"/>
      <c r="AF97" s="135">
        <f t="shared" si="8"/>
        <v>114942.31</v>
      </c>
      <c r="AH97">
        <v>122242</v>
      </c>
    </row>
    <row r="98" spans="1:34" x14ac:dyDescent="0.25">
      <c r="A98" s="2"/>
      <c r="B98" s="2"/>
      <c r="C98" s="2"/>
      <c r="D98" s="2"/>
      <c r="E98" s="2" t="s">
        <v>223</v>
      </c>
      <c r="F98" s="2"/>
      <c r="G98" s="2"/>
      <c r="H98" s="135">
        <v>0</v>
      </c>
      <c r="I98" s="6"/>
      <c r="J98" s="135">
        <v>0</v>
      </c>
      <c r="K98" s="6"/>
      <c r="L98" s="135">
        <v>0</v>
      </c>
      <c r="M98" s="6"/>
      <c r="N98" s="135">
        <v>0</v>
      </c>
      <c r="O98" s="6"/>
      <c r="P98" s="135">
        <v>0</v>
      </c>
      <c r="Q98" s="6"/>
      <c r="R98" s="135">
        <v>0</v>
      </c>
      <c r="S98" s="6"/>
      <c r="T98" s="135">
        <v>0</v>
      </c>
      <c r="U98" s="6"/>
      <c r="V98" s="135">
        <v>0</v>
      </c>
      <c r="W98" s="6"/>
      <c r="X98" s="135">
        <v>0</v>
      </c>
      <c r="Y98" s="6"/>
      <c r="Z98" s="135">
        <v>1800</v>
      </c>
      <c r="AA98" s="6"/>
      <c r="AB98" s="135">
        <v>0</v>
      </c>
      <c r="AC98" s="6"/>
      <c r="AD98" s="135">
        <v>0</v>
      </c>
      <c r="AE98" s="6"/>
      <c r="AF98" s="135">
        <f t="shared" si="8"/>
        <v>1800</v>
      </c>
    </row>
    <row r="99" spans="1:34" x14ac:dyDescent="0.25">
      <c r="A99" s="2"/>
      <c r="B99" s="2"/>
      <c r="C99" s="2"/>
      <c r="D99" s="2"/>
      <c r="E99" s="2" t="s">
        <v>224</v>
      </c>
      <c r="F99" s="2"/>
      <c r="G99" s="2"/>
      <c r="H99" s="135">
        <v>0</v>
      </c>
      <c r="I99" s="6"/>
      <c r="J99" s="135">
        <v>0</v>
      </c>
      <c r="K99" s="6"/>
      <c r="L99" s="135">
        <v>0</v>
      </c>
      <c r="M99" s="6"/>
      <c r="N99" s="135">
        <v>0</v>
      </c>
      <c r="O99" s="6"/>
      <c r="P99" s="135">
        <v>0</v>
      </c>
      <c r="Q99" s="6"/>
      <c r="R99" s="135">
        <v>0</v>
      </c>
      <c r="S99" s="6"/>
      <c r="T99" s="135">
        <v>0</v>
      </c>
      <c r="U99" s="6"/>
      <c r="V99" s="135">
        <v>15177</v>
      </c>
      <c r="W99" s="6"/>
      <c r="X99" s="135">
        <v>0</v>
      </c>
      <c r="Y99" s="6"/>
      <c r="Z99" s="135">
        <v>47332.5</v>
      </c>
      <c r="AA99" s="6"/>
      <c r="AB99" s="135">
        <v>0</v>
      </c>
      <c r="AC99" s="6"/>
      <c r="AD99" s="135">
        <v>0</v>
      </c>
      <c r="AE99" s="6"/>
      <c r="AF99" s="135">
        <f t="shared" si="8"/>
        <v>62509.5</v>
      </c>
      <c r="AH99">
        <v>198940.61</v>
      </c>
    </row>
    <row r="100" spans="1:34" ht="15.75" thickBot="1" x14ac:dyDescent="0.3">
      <c r="A100" s="2"/>
      <c r="B100" s="2"/>
      <c r="C100" s="2"/>
      <c r="D100" s="2"/>
      <c r="E100" s="2" t="s">
        <v>225</v>
      </c>
      <c r="F100" s="2"/>
      <c r="G100" s="2"/>
      <c r="H100" s="136">
        <v>0</v>
      </c>
      <c r="I100" s="6"/>
      <c r="J100" s="136">
        <v>0</v>
      </c>
      <c r="K100" s="6"/>
      <c r="L100" s="136">
        <v>0</v>
      </c>
      <c r="M100" s="6"/>
      <c r="N100" s="136">
        <v>0</v>
      </c>
      <c r="O100" s="6"/>
      <c r="P100" s="136">
        <v>0</v>
      </c>
      <c r="Q100" s="6"/>
      <c r="R100" s="136">
        <v>8489.5</v>
      </c>
      <c r="S100" s="6"/>
      <c r="T100" s="136">
        <v>4239.5</v>
      </c>
      <c r="U100" s="6"/>
      <c r="V100" s="136">
        <v>0</v>
      </c>
      <c r="W100" s="6"/>
      <c r="X100" s="136">
        <v>0</v>
      </c>
      <c r="Y100" s="6"/>
      <c r="Z100" s="136">
        <v>3050</v>
      </c>
      <c r="AA100" s="6"/>
      <c r="AB100" s="136">
        <v>0</v>
      </c>
      <c r="AC100" s="6"/>
      <c r="AD100" s="136">
        <v>0</v>
      </c>
      <c r="AE100" s="6"/>
      <c r="AF100" s="136">
        <f t="shared" si="8"/>
        <v>15779</v>
      </c>
    </row>
    <row r="101" spans="1:34" ht="15.75" thickBot="1" x14ac:dyDescent="0.3">
      <c r="A101" s="2"/>
      <c r="B101" s="2"/>
      <c r="C101" s="2"/>
      <c r="D101" s="2" t="s">
        <v>91</v>
      </c>
      <c r="E101" s="2"/>
      <c r="F101" s="2"/>
      <c r="G101" s="2"/>
      <c r="H101" s="149">
        <f>ROUND(SUM(H94:H100),5)</f>
        <v>0</v>
      </c>
      <c r="I101" s="6"/>
      <c r="J101" s="149">
        <f>ROUND(SUM(J94:J100),5)</f>
        <v>0</v>
      </c>
      <c r="K101" s="6"/>
      <c r="L101" s="149">
        <f>ROUND(SUM(L94:L100),5)</f>
        <v>0</v>
      </c>
      <c r="M101" s="6"/>
      <c r="N101" s="149">
        <f>ROUND(SUM(N94:N100),5)</f>
        <v>0</v>
      </c>
      <c r="O101" s="6"/>
      <c r="P101" s="149">
        <f>ROUND(SUM(P94:P100),5)</f>
        <v>0</v>
      </c>
      <c r="Q101" s="6"/>
      <c r="R101" s="149">
        <f>ROUND(SUM(R94:R100),5)</f>
        <v>68493.149999999994</v>
      </c>
      <c r="S101" s="6"/>
      <c r="T101" s="149">
        <f>ROUND(SUM(T94:T100),5)</f>
        <v>4239.5</v>
      </c>
      <c r="U101" s="6"/>
      <c r="V101" s="149">
        <f>ROUND(SUM(V94:V100),5)</f>
        <v>15177</v>
      </c>
      <c r="W101" s="6"/>
      <c r="X101" s="149">
        <f>ROUND(SUM(X94:X100),5)</f>
        <v>25739</v>
      </c>
      <c r="Y101" s="6"/>
      <c r="Z101" s="149">
        <f>ROUND(SUM(Z94:Z100),5)</f>
        <v>83712.5</v>
      </c>
      <c r="AA101" s="6"/>
      <c r="AB101" s="149">
        <f>ROUND(SUM(AB94:AB100),5)</f>
        <v>18383.66</v>
      </c>
      <c r="AC101" s="6"/>
      <c r="AD101" s="149">
        <f>ROUND(SUM(AD94:AD100),5)</f>
        <v>0</v>
      </c>
      <c r="AE101" s="6"/>
      <c r="AF101" s="149">
        <f t="shared" si="8"/>
        <v>215744.81</v>
      </c>
    </row>
    <row r="102" spans="1:34" ht="30" customHeight="1" thickBot="1" x14ac:dyDescent="0.3">
      <c r="A102" s="2"/>
      <c r="B102" s="2"/>
      <c r="C102" s="2" t="s">
        <v>92</v>
      </c>
      <c r="D102" s="2"/>
      <c r="E102" s="2"/>
      <c r="F102" s="2"/>
      <c r="G102" s="2"/>
      <c r="H102" s="149">
        <f>ROUND(H93+H101,5)</f>
        <v>0</v>
      </c>
      <c r="I102" s="6"/>
      <c r="J102" s="149">
        <f>ROUND(J93+J101,5)</f>
        <v>0</v>
      </c>
      <c r="K102" s="6"/>
      <c r="L102" s="149">
        <f>ROUND(L93+L101,5)</f>
        <v>0</v>
      </c>
      <c r="M102" s="6"/>
      <c r="N102" s="149">
        <f>ROUND(N93+N101,5)</f>
        <v>0</v>
      </c>
      <c r="O102" s="6"/>
      <c r="P102" s="149">
        <f>ROUND(P93+P101,5)</f>
        <v>0</v>
      </c>
      <c r="Q102" s="6"/>
      <c r="R102" s="149">
        <f>ROUND(R93+R101,5)</f>
        <v>68493.149999999994</v>
      </c>
      <c r="S102" s="6"/>
      <c r="T102" s="149">
        <f>ROUND(T93+T101,5)</f>
        <v>4239.5</v>
      </c>
      <c r="U102" s="6"/>
      <c r="V102" s="149">
        <f>ROUND(V93+V101,5)</f>
        <v>15177</v>
      </c>
      <c r="W102" s="6"/>
      <c r="X102" s="149">
        <f>ROUND(X93+X101,5)</f>
        <v>25739</v>
      </c>
      <c r="Y102" s="6"/>
      <c r="Z102" s="149">
        <f>ROUND(Z93+Z101,5)</f>
        <v>83712.5</v>
      </c>
      <c r="AA102" s="6"/>
      <c r="AB102" s="149">
        <f>ROUND(AB93+AB101,5)</f>
        <v>18383.66</v>
      </c>
      <c r="AC102" s="6"/>
      <c r="AD102" s="149">
        <f>ROUND(AD93+AD101,5)</f>
        <v>0</v>
      </c>
      <c r="AE102" s="6"/>
      <c r="AF102" s="149">
        <f t="shared" si="8"/>
        <v>215744.81</v>
      </c>
    </row>
    <row r="103" spans="1:34" ht="30" customHeight="1" thickBot="1" x14ac:dyDescent="0.3">
      <c r="A103" s="2"/>
      <c r="B103" s="2" t="s">
        <v>93</v>
      </c>
      <c r="C103" s="2"/>
      <c r="D103" s="2"/>
      <c r="E103" s="2"/>
      <c r="F103" s="2"/>
      <c r="G103" s="2"/>
      <c r="H103" s="149">
        <f>ROUND(H79+H92-H102,5)</f>
        <v>1507.88</v>
      </c>
      <c r="I103" s="6"/>
      <c r="J103" s="149">
        <f>ROUND(J79+J92-J102,5)</f>
        <v>1507.86</v>
      </c>
      <c r="K103" s="6"/>
      <c r="L103" s="149">
        <f>ROUND(L79+L92-L102,5)</f>
        <v>1507.86</v>
      </c>
      <c r="M103" s="6"/>
      <c r="N103" s="149">
        <f>ROUND(N79+N92-N102,5)</f>
        <v>1507.88</v>
      </c>
      <c r="O103" s="6"/>
      <c r="P103" s="149">
        <f>ROUND(P79+P92-P102,5)</f>
        <v>520091.08</v>
      </c>
      <c r="Q103" s="6"/>
      <c r="R103" s="149">
        <f>ROUND(R79+R92-R102,5)</f>
        <v>-55520.14</v>
      </c>
      <c r="S103" s="6"/>
      <c r="T103" s="149">
        <f>ROUND(T79+T92-T102,5)</f>
        <v>45810.01</v>
      </c>
      <c r="U103" s="6"/>
      <c r="V103" s="149">
        <f>ROUND(V79+V92-V102,5)</f>
        <v>-13669.14</v>
      </c>
      <c r="W103" s="6"/>
      <c r="X103" s="149">
        <f>ROUND(X79+X92-X102,5)</f>
        <v>-24231.14</v>
      </c>
      <c r="Y103" s="6"/>
      <c r="Z103" s="149">
        <f>ROUND(Z79+Z92-Z102,5)</f>
        <v>-82013.070000000007</v>
      </c>
      <c r="AA103" s="6"/>
      <c r="AB103" s="149">
        <f>ROUND(AB79+AB92-AB102,5)</f>
        <v>-16875.8</v>
      </c>
      <c r="AC103" s="6"/>
      <c r="AD103" s="149">
        <f>ROUND(AD79+AD92-AD102,5)</f>
        <v>1507.86</v>
      </c>
      <c r="AE103" s="6"/>
      <c r="AF103" s="149">
        <f t="shared" si="8"/>
        <v>381131.14</v>
      </c>
    </row>
    <row r="104" spans="1:34" s="12" customFormat="1" ht="30" customHeight="1" thickBot="1" x14ac:dyDescent="0.25">
      <c r="A104" s="2" t="s">
        <v>94</v>
      </c>
      <c r="B104" s="2"/>
      <c r="C104" s="2"/>
      <c r="D104" s="2"/>
      <c r="E104" s="2"/>
      <c r="F104" s="2"/>
      <c r="G104" s="2"/>
      <c r="H104" s="152">
        <f>ROUND(H78+H103,5)</f>
        <v>-1178.5899999999999</v>
      </c>
      <c r="I104" s="2"/>
      <c r="J104" s="152">
        <f>ROUND(J78+J103,5)</f>
        <v>16316.91</v>
      </c>
      <c r="K104" s="2"/>
      <c r="L104" s="152">
        <f>ROUND(L78+L103,5)</f>
        <v>616.37</v>
      </c>
      <c r="M104" s="2"/>
      <c r="N104" s="152">
        <f>ROUND(N78+N103,5)</f>
        <v>16043.85</v>
      </c>
      <c r="O104" s="2"/>
      <c r="P104" s="152">
        <f>ROUND(P78+P103,5)</f>
        <v>531746.34</v>
      </c>
      <c r="Q104" s="2"/>
      <c r="R104" s="152">
        <f>ROUND(R78+R103,5)</f>
        <v>-45911.14</v>
      </c>
      <c r="S104" s="2"/>
      <c r="T104" s="152">
        <f>ROUND(T78+T103,5)</f>
        <v>52489.33</v>
      </c>
      <c r="U104" s="2"/>
      <c r="V104" s="152">
        <f>ROUND(V78+V103,5)</f>
        <v>-707.9</v>
      </c>
      <c r="W104" s="2"/>
      <c r="X104" s="152">
        <f>ROUND(X78+X103,5)</f>
        <v>-15127.74</v>
      </c>
      <c r="Y104" s="2"/>
      <c r="Z104" s="152">
        <f>ROUND(Z78+Z103,5)</f>
        <v>-62236.25</v>
      </c>
      <c r="AA104" s="2"/>
      <c r="AB104" s="152">
        <f>ROUND(AB78+AB103,5)</f>
        <v>-13252.96</v>
      </c>
      <c r="AC104" s="2"/>
      <c r="AD104" s="152">
        <f>ROUND(AD78+AD103,5)</f>
        <v>2754.72</v>
      </c>
      <c r="AE104" s="2"/>
      <c r="AF104" s="152">
        <f t="shared" si="8"/>
        <v>481552.94</v>
      </c>
    </row>
    <row r="105" spans="1:34" ht="15.75" thickTop="1" x14ac:dyDescent="0.25"/>
  </sheetData>
  <pageMargins left="0.7" right="0.7" top="0.75" bottom="0.75" header="0.25" footer="0.3"/>
  <pageSetup scale="60" fitToHeight="0" orientation="landscape" r:id="rId1"/>
  <headerFooter>
    <oddHeader>&amp;L&amp;"Arial,Bold"&amp;8 4:21 PM
&amp;"Arial,Bold"&amp;8 12/22/11
&amp;"Arial,Bold"&amp;8 Accrual Basis&amp;C&amp;"Arial,Bold"&amp;12 Beaver Creek Lodge Condominium Association
&amp;"Arial,Bold"&amp;14 Profit &amp;&amp; Loss
&amp;"Arial,Bold"&amp;10 January through December 2011</oddHeader>
    <oddFooter>&amp;R&amp;"Arial,Bold"&amp;8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9:B35"/>
  <sheetViews>
    <sheetView workbookViewId="0">
      <selection activeCell="A28" sqref="A28:C36"/>
    </sheetView>
  </sheetViews>
  <sheetFormatPr defaultRowHeight="15" x14ac:dyDescent="0.25"/>
  <cols>
    <col min="2" max="2" width="9.7109375" bestFit="1" customWidth="1"/>
  </cols>
  <sheetData>
    <row r="29" spans="2:2" x14ac:dyDescent="0.25">
      <c r="B29" s="153">
        <v>40745</v>
      </c>
    </row>
    <row r="30" spans="2:2" x14ac:dyDescent="0.25">
      <c r="B30" s="153">
        <v>40886</v>
      </c>
    </row>
    <row r="31" spans="2:2" x14ac:dyDescent="0.25">
      <c r="B31">
        <f>DAYS360(B29,B30)</f>
        <v>138</v>
      </c>
    </row>
    <row r="32" spans="2:2" x14ac:dyDescent="0.25">
      <c r="B32">
        <v>360</v>
      </c>
    </row>
    <row r="33" spans="2:2" x14ac:dyDescent="0.25">
      <c r="B33">
        <f>+B31/B32</f>
        <v>0.38333333333333336</v>
      </c>
    </row>
    <row r="34" spans="2:2" x14ac:dyDescent="0.25">
      <c r="B34">
        <v>160</v>
      </c>
    </row>
    <row r="35" spans="2:2" x14ac:dyDescent="0.25">
      <c r="B35">
        <f>+B34*B33</f>
        <v>61.333333333333336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Budget</vt:lpstr>
      <vt:lpstr>Sheet2</vt:lpstr>
      <vt:lpstr>Sheet3</vt:lpstr>
      <vt:lpstr>Assessments</vt:lpstr>
      <vt:lpstr>Utilities</vt:lpstr>
      <vt:lpstr>2011</vt:lpstr>
      <vt:lpstr>Sheet1</vt:lpstr>
      <vt:lpstr>Assessments!Print_Area</vt:lpstr>
      <vt:lpstr>Budget!Print_Area</vt:lpstr>
      <vt:lpstr>'2011'!Print_Titles</vt:lpstr>
      <vt:lpstr>Assessments!Print_Titles</vt:lpstr>
      <vt:lpstr>Budget!Print_Titles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 </cp:lastModifiedBy>
  <cp:lastPrinted>2012-03-12T18:53:59Z</cp:lastPrinted>
  <dcterms:created xsi:type="dcterms:W3CDTF">2011-12-16T22:56:42Z</dcterms:created>
  <dcterms:modified xsi:type="dcterms:W3CDTF">2012-03-29T20:16:26Z</dcterms:modified>
</cp:coreProperties>
</file>